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aacmarchseptember2021disbursement\"/>
    </mc:Choice>
  </mc:AlternateContent>
  <xr:revisionPtr revIDLastSave="0" documentId="13_ncr:1_{170C5C75-4A9A-462D-9E0F-DF7AEDED8142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MONTHENTRY" sheetId="8" state="hidden" r:id="rId1"/>
    <sheet name="Sum &amp; FG" sheetId="4" r:id="rId2"/>
    <sheet name="SG Details" sheetId="1" r:id="rId3"/>
    <sheet name="States Ecolgy April, 2021" sheetId="14" r:id="rId4"/>
    <sheet name="Sum LGC " sheetId="19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Details'!$A$2:$S$55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9" l="1"/>
  <c r="J44" i="19"/>
  <c r="J38" i="19"/>
  <c r="J35" i="19"/>
  <c r="J33" i="19"/>
  <c r="J30" i="19"/>
  <c r="J27" i="19"/>
  <c r="J25" i="19"/>
  <c r="J22" i="19"/>
  <c r="J19" i="19"/>
  <c r="J17" i="19"/>
  <c r="J14" i="19"/>
  <c r="J11" i="19"/>
  <c r="J9" i="19"/>
  <c r="I45" i="19"/>
  <c r="G45" i="19"/>
  <c r="F45" i="19"/>
  <c r="D45" i="19"/>
  <c r="E43" i="19"/>
  <c r="J43" i="19" s="1"/>
  <c r="E42" i="19"/>
  <c r="J42" i="19" s="1"/>
  <c r="E41" i="19"/>
  <c r="J41" i="19" s="1"/>
  <c r="E40" i="19"/>
  <c r="J40" i="19" s="1"/>
  <c r="E39" i="19"/>
  <c r="J39" i="19" s="1"/>
  <c r="E38" i="19"/>
  <c r="E37" i="19"/>
  <c r="J37" i="19" s="1"/>
  <c r="E36" i="19"/>
  <c r="J36" i="19" s="1"/>
  <c r="E35" i="19"/>
  <c r="E34" i="19"/>
  <c r="J34" i="19" s="1"/>
  <c r="E33" i="19"/>
  <c r="E32" i="19"/>
  <c r="J32" i="19" s="1"/>
  <c r="E31" i="19"/>
  <c r="J31" i="19" s="1"/>
  <c r="E30" i="19"/>
  <c r="E29" i="19"/>
  <c r="J29" i="19" s="1"/>
  <c r="E28" i="19"/>
  <c r="J28" i="19" s="1"/>
  <c r="E27" i="19"/>
  <c r="E26" i="19"/>
  <c r="J26" i="19" s="1"/>
  <c r="E25" i="19"/>
  <c r="E24" i="19"/>
  <c r="J24" i="19" s="1"/>
  <c r="E23" i="19"/>
  <c r="J23" i="19" s="1"/>
  <c r="E22" i="19"/>
  <c r="E21" i="19"/>
  <c r="J21" i="19" s="1"/>
  <c r="E20" i="19"/>
  <c r="J20" i="19" s="1"/>
  <c r="E19" i="19"/>
  <c r="E18" i="19"/>
  <c r="J18" i="19" s="1"/>
  <c r="E17" i="19"/>
  <c r="E16" i="19"/>
  <c r="J16" i="19" s="1"/>
  <c r="E15" i="19"/>
  <c r="J15" i="19" s="1"/>
  <c r="E14" i="19"/>
  <c r="E13" i="19"/>
  <c r="J13" i="19" s="1"/>
  <c r="E12" i="19"/>
  <c r="J12" i="19" s="1"/>
  <c r="E11" i="19"/>
  <c r="E10" i="19"/>
  <c r="J10" i="19" s="1"/>
  <c r="E9" i="19"/>
  <c r="E8" i="19"/>
  <c r="J8" i="19" s="1"/>
  <c r="E7" i="19"/>
  <c r="J7" i="19" s="1"/>
  <c r="J45" i="19" s="1"/>
  <c r="C22" i="4"/>
  <c r="L42" i="1"/>
  <c r="L38" i="1"/>
  <c r="L26" i="1"/>
  <c r="L22" i="1"/>
  <c r="L20" i="1"/>
  <c r="L16" i="1"/>
  <c r="L13" i="1"/>
  <c r="L11" i="1"/>
  <c r="G11" i="4"/>
  <c r="Q48" i="1"/>
  <c r="R48" i="1"/>
  <c r="E43" i="14"/>
  <c r="E44" i="14" s="1"/>
  <c r="O49" i="1"/>
  <c r="N49" i="1"/>
  <c r="M49" i="1"/>
  <c r="K49" i="1"/>
  <c r="I49" i="1"/>
  <c r="H49" i="1"/>
  <c r="J51" i="1" s="1"/>
  <c r="G49" i="1"/>
  <c r="E49" i="1"/>
  <c r="D49" i="1"/>
  <c r="D37" i="14"/>
  <c r="G37" i="14" s="1"/>
  <c r="D32" i="14"/>
  <c r="D29" i="14"/>
  <c r="D28" i="14"/>
  <c r="G28" i="14" s="1"/>
  <c r="D27" i="14"/>
  <c r="D13" i="14"/>
  <c r="F43" i="14"/>
  <c r="F44" i="14" s="1"/>
  <c r="F11" i="1"/>
  <c r="J11" i="1" s="1"/>
  <c r="G35" i="4"/>
  <c r="H35" i="4"/>
  <c r="G21" i="4"/>
  <c r="G8" i="4"/>
  <c r="G9" i="4"/>
  <c r="G10" i="4"/>
  <c r="G12" i="4"/>
  <c r="G13" i="4"/>
  <c r="G14" i="4"/>
  <c r="G15" i="4"/>
  <c r="G16" i="4"/>
  <c r="G17" i="4"/>
  <c r="G18" i="4"/>
  <c r="G19" i="4"/>
  <c r="G20" i="4"/>
  <c r="F22" i="4"/>
  <c r="E22" i="4"/>
  <c r="D22" i="4"/>
  <c r="G22" i="14"/>
  <c r="G21" i="14"/>
  <c r="G20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41" i="14"/>
  <c r="G40" i="14"/>
  <c r="G39" i="14"/>
  <c r="G38" i="14"/>
  <c r="G36" i="14"/>
  <c r="G35" i="14"/>
  <c r="G34" i="14"/>
  <c r="G33" i="14"/>
  <c r="G32" i="14"/>
  <c r="G31" i="14"/>
  <c r="G30" i="14"/>
  <c r="G29" i="14"/>
  <c r="G27" i="14"/>
  <c r="G26" i="14"/>
  <c r="G25" i="14"/>
  <c r="G24" i="14"/>
  <c r="G23" i="14"/>
  <c r="G42" i="14"/>
  <c r="P34" i="1"/>
  <c r="P46" i="1"/>
  <c r="P45" i="1"/>
  <c r="P44" i="1"/>
  <c r="P43" i="1"/>
  <c r="P42" i="1"/>
  <c r="P41" i="1"/>
  <c r="P40" i="1"/>
  <c r="P39" i="1"/>
  <c r="P38" i="1"/>
  <c r="P37" i="1"/>
  <c r="P36" i="1"/>
  <c r="P35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F47" i="1"/>
  <c r="F46" i="1"/>
  <c r="Q46" i="1" s="1"/>
  <c r="F45" i="1"/>
  <c r="Q45" i="1" s="1"/>
  <c r="F44" i="1"/>
  <c r="J44" i="1" s="1"/>
  <c r="F43" i="1"/>
  <c r="Q43" i="1" s="1"/>
  <c r="F42" i="1"/>
  <c r="J42" i="1" s="1"/>
  <c r="R42" i="1" s="1"/>
  <c r="F41" i="1"/>
  <c r="J41" i="1" s="1"/>
  <c r="F40" i="1"/>
  <c r="Q40" i="1" s="1"/>
  <c r="F39" i="1"/>
  <c r="Q39" i="1" s="1"/>
  <c r="F38" i="1"/>
  <c r="F37" i="1"/>
  <c r="Q37" i="1" s="1"/>
  <c r="F36" i="1"/>
  <c r="Q36" i="1" s="1"/>
  <c r="F35" i="1"/>
  <c r="Q35" i="1" s="1"/>
  <c r="F34" i="1"/>
  <c r="J34" i="1" s="1"/>
  <c r="F33" i="1"/>
  <c r="J33" i="1"/>
  <c r="F32" i="1"/>
  <c r="Q32" i="1" s="1"/>
  <c r="F31" i="1"/>
  <c r="J31" i="1" s="1"/>
  <c r="R31" i="1" s="1"/>
  <c r="F30" i="1"/>
  <c r="J30" i="1" s="1"/>
  <c r="R30" i="1" s="1"/>
  <c r="F29" i="1"/>
  <c r="Q29" i="1"/>
  <c r="F28" i="1"/>
  <c r="Q28" i="1" s="1"/>
  <c r="F27" i="1"/>
  <c r="F26" i="1"/>
  <c r="Q26" i="1" s="1"/>
  <c r="F25" i="1"/>
  <c r="Q25" i="1" s="1"/>
  <c r="F24" i="1"/>
  <c r="Q24" i="1" s="1"/>
  <c r="F23" i="1"/>
  <c r="Q23" i="1" s="1"/>
  <c r="F22" i="1"/>
  <c r="J22" i="1" s="1"/>
  <c r="R22" i="1" s="1"/>
  <c r="F21" i="1"/>
  <c r="J21" i="1" s="1"/>
  <c r="R21" i="1" s="1"/>
  <c r="F20" i="1"/>
  <c r="Q20" i="1" s="1"/>
  <c r="F19" i="1"/>
  <c r="J19" i="1" s="1"/>
  <c r="F18" i="1"/>
  <c r="Q18" i="1" s="1"/>
  <c r="F17" i="1"/>
  <c r="Q17" i="1" s="1"/>
  <c r="F16" i="1"/>
  <c r="F15" i="1"/>
  <c r="J15" i="1" s="1"/>
  <c r="F14" i="1"/>
  <c r="Q14" i="1" s="1"/>
  <c r="F13" i="1"/>
  <c r="F12" i="1"/>
  <c r="J12" i="1" s="1"/>
  <c r="R12" i="1" s="1"/>
  <c r="E30" i="4"/>
  <c r="I30" i="4" s="1"/>
  <c r="E31" i="4"/>
  <c r="I31" i="4" s="1"/>
  <c r="E32" i="4"/>
  <c r="I32" i="4" s="1"/>
  <c r="E33" i="4"/>
  <c r="I33" i="4"/>
  <c r="E34" i="4"/>
  <c r="I34" i="4" s="1"/>
  <c r="D35" i="4"/>
  <c r="C35" i="4"/>
  <c r="F35" i="4"/>
  <c r="F5" i="8"/>
  <c r="B1" i="8"/>
  <c r="C1" i="8"/>
  <c r="Q34" i="1"/>
  <c r="Q19" i="1"/>
  <c r="J20" i="1"/>
  <c r="R20" i="1" s="1"/>
  <c r="J27" i="1"/>
  <c r="Q27" i="1"/>
  <c r="J24" i="1"/>
  <c r="R24" i="1" s="1"/>
  <c r="J28" i="1"/>
  <c r="R28" i="1" s="1"/>
  <c r="J39" i="1"/>
  <c r="R39" i="1"/>
  <c r="J29" i="1"/>
  <c r="R29" i="1" s="1"/>
  <c r="J46" i="1"/>
  <c r="R46" i="1" s="1"/>
  <c r="E35" i="4"/>
  <c r="J47" i="1"/>
  <c r="Q41" i="1"/>
  <c r="J32" i="1"/>
  <c r="R32" i="1" s="1"/>
  <c r="J16" i="1"/>
  <c r="Q33" i="1"/>
  <c r="Q47" i="1" l="1"/>
  <c r="R47" i="1"/>
  <c r="R41" i="1"/>
  <c r="Q30" i="1"/>
  <c r="R34" i="1"/>
  <c r="J40" i="1"/>
  <c r="R40" i="1" s="1"/>
  <c r="R27" i="1"/>
  <c r="D43" i="14"/>
  <c r="G43" i="14" s="1"/>
  <c r="J50" i="1"/>
  <c r="Q15" i="1"/>
  <c r="Q31" i="1"/>
  <c r="R44" i="1"/>
  <c r="P49" i="1"/>
  <c r="J35" i="1"/>
  <c r="R35" i="1" s="1"/>
  <c r="R19" i="1"/>
  <c r="Q13" i="1"/>
  <c r="Q38" i="1"/>
  <c r="R33" i="1"/>
  <c r="J45" i="1"/>
  <c r="R45" i="1" s="1"/>
  <c r="J14" i="1"/>
  <c r="R14" i="1" s="1"/>
  <c r="J23" i="1"/>
  <c r="E45" i="19"/>
  <c r="Q12" i="1"/>
  <c r="J43" i="1"/>
  <c r="R43" i="1" s="1"/>
  <c r="J13" i="1"/>
  <c r="R13" i="1" s="1"/>
  <c r="L49" i="1"/>
  <c r="Q42" i="1"/>
  <c r="J38" i="1"/>
  <c r="R38" i="1" s="1"/>
  <c r="G13" i="14"/>
  <c r="Q22" i="1"/>
  <c r="R16" i="1"/>
  <c r="J26" i="1"/>
  <c r="R26" i="1" s="1"/>
  <c r="R15" i="1"/>
  <c r="G22" i="4"/>
  <c r="Q11" i="1"/>
  <c r="R23" i="1"/>
  <c r="Q16" i="1"/>
  <c r="J18" i="1"/>
  <c r="R18" i="1" s="1"/>
  <c r="J36" i="1"/>
  <c r="R36" i="1" s="1"/>
  <c r="G5" i="8"/>
  <c r="C5" i="8" s="1"/>
  <c r="I35" i="4"/>
  <c r="F16" i="8"/>
  <c r="F12" i="8"/>
  <c r="F15" i="8"/>
  <c r="F10" i="8"/>
  <c r="F11" i="8"/>
  <c r="F13" i="8"/>
  <c r="F9" i="8"/>
  <c r="F19" i="8"/>
  <c r="F14" i="8"/>
  <c r="F17" i="8"/>
  <c r="F8" i="8"/>
  <c r="F18" i="8"/>
  <c r="R11" i="1"/>
  <c r="Q44" i="1"/>
  <c r="J25" i="1"/>
  <c r="R25" i="1" s="1"/>
  <c r="J37" i="1"/>
  <c r="R37" i="1" s="1"/>
  <c r="J17" i="1"/>
  <c r="R17" i="1" s="1"/>
  <c r="F49" i="1"/>
  <c r="Q21" i="1"/>
  <c r="D44" i="14" l="1"/>
  <c r="G44" i="14"/>
  <c r="Q49" i="1"/>
  <c r="B5" i="8"/>
  <c r="B12" i="8" s="1"/>
  <c r="J49" i="1"/>
  <c r="R49" i="1"/>
  <c r="R51" i="1" s="1"/>
  <c r="R53" i="1" s="1"/>
  <c r="B14" i="8" l="1"/>
  <c r="B11" i="8"/>
  <c r="B10" i="8"/>
  <c r="B19" i="8"/>
  <c r="B16" i="8"/>
  <c r="B17" i="8"/>
  <c r="B9" i="8"/>
  <c r="B15" i="8"/>
  <c r="F6" i="8" s="1"/>
  <c r="B8" i="8"/>
  <c r="B13" i="8"/>
  <c r="B18" i="8"/>
  <c r="B6" i="8" s="1"/>
</calcChain>
</file>

<file path=xl/sharedStrings.xml><?xml version="1.0" encoding="utf-8"?>
<sst xmlns="http://schemas.openxmlformats.org/spreadsheetml/2006/main" count="284" uniqueCount="218">
  <si>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</si>
  <si>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</si>
  <si>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</si>
  <si>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</si>
  <si>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</si>
  <si>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</si>
  <si>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</si>
  <si>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</si>
  <si>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</si>
  <si>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</si>
  <si>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Sub-total</t>
  </si>
  <si>
    <t>Value Added Tax</t>
  </si>
  <si>
    <t>Contractual Obligation (ISPO)</t>
  </si>
  <si>
    <t>Net Statutory Allocation</t>
  </si>
  <si>
    <t>Total Net Amount</t>
  </si>
  <si>
    <t>Statutory</t>
  </si>
  <si>
    <t>Total</t>
  </si>
  <si>
    <t>13% Derivation Fund</t>
  </si>
  <si>
    <t>FGN (CRF Account)</t>
  </si>
  <si>
    <t>Share of Derivation &amp; Ecology</t>
  </si>
  <si>
    <t>Beneficiaries</t>
  </si>
  <si>
    <t>Table I</t>
  </si>
  <si>
    <t>Table II</t>
  </si>
  <si>
    <t>FGN (see Table II)</t>
  </si>
  <si>
    <t>Table III</t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</si>
  <si>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</si>
  <si>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</si>
  <si>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</si>
  <si>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</si>
  <si>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</si>
  <si>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</si>
  <si>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t>Federal Ministry of Finance, Abuja</t>
  </si>
  <si>
    <t>Abuja. Nigeria.</t>
  </si>
  <si>
    <t>13% Share of Derivation (Net)</t>
  </si>
  <si>
    <t>Payment for Fertilizer, State Water Supply Project, State Agricultural Project and National Fadama Project</t>
  </si>
  <si>
    <t>Check!!</t>
  </si>
  <si>
    <t>Cost of Collection - NCS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</si>
  <si>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</si>
  <si>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</si>
  <si>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</si>
  <si>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</si>
  <si>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</si>
  <si>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</si>
  <si>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</si>
  <si>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</si>
  <si>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</si>
  <si>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</si>
  <si>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</si>
  <si>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</si>
  <si>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</si>
  <si>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</si>
  <si>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</si>
  <si>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</si>
  <si>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</si>
  <si>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</si>
  <si>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</si>
  <si>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</si>
  <si>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</si>
  <si>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</si>
  <si>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</si>
  <si>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</si>
  <si>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</si>
  <si>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</si>
  <si>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</si>
  <si>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</si>
  <si>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</si>
  <si>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</si>
  <si>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</si>
  <si>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</si>
  <si>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</si>
  <si>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</si>
  <si>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</si>
  <si>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</si>
  <si>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Gross VAT Allocation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</si>
  <si>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</si>
  <si>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</si>
  <si>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</si>
  <si>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</si>
  <si>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</si>
  <si>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</si>
  <si>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</si>
  <si>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</si>
  <si>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</si>
  <si>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</si>
  <si>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</si>
  <si>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</si>
  <si>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</si>
  <si>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</si>
  <si>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</si>
  <si>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</si>
  <si>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</si>
  <si>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</si>
  <si>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r>
      <t xml:space="preserve">Source: </t>
    </r>
    <r>
      <rPr>
        <b/>
        <sz val="18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</si>
  <si>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8"/>
        <rFont val="Times New Roman"/>
        <family val="1"/>
      </rPr>
      <t>www.fmf.gov.ng</t>
    </r>
    <r>
      <rPr>
        <b/>
        <sz val="18"/>
        <rFont val="Times New Roman"/>
        <family val="1"/>
      </rPr>
      <t xml:space="preserve"> and Office of Accountant-General of the Federation website </t>
    </r>
    <r>
      <rPr>
        <b/>
        <u/>
        <sz val="18"/>
        <rFont val="Times New Roman"/>
        <family val="1"/>
      </rPr>
      <t>www.oagf.gov.ng</t>
    </r>
    <r>
      <rPr>
        <b/>
        <sz val="18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8"/>
        <rFont val="Times New Roman"/>
        <family val="1"/>
      </rPr>
      <t>www.budgetoffice.gov.ng</t>
    </r>
    <r>
      <rPr>
        <b/>
        <sz val="18"/>
        <rFont val="Times New Roman"/>
        <family val="1"/>
      </rPr>
      <t xml:space="preserve"> also contains information about the Budget.</t>
    </r>
  </si>
  <si>
    <t>Office  of the Accountant General of the Federation</t>
  </si>
  <si>
    <t>Cost of Collection - FIRS</t>
  </si>
  <si>
    <t>FIRS Refund</t>
  </si>
  <si>
    <t>Refund of Cost of Collection</t>
  </si>
  <si>
    <t>Police Trust Fund</t>
  </si>
  <si>
    <t>North East Development Commission</t>
  </si>
  <si>
    <t xml:space="preserve"> Cost of Collections - DPR</t>
  </si>
  <si>
    <t>Summary of Gross Revenue Allocation by Federation Account Allocation Committee for the Month of March, 2021 Shared in April, 2021</t>
  </si>
  <si>
    <t>Distribution of Exchange Gain for the month</t>
  </si>
  <si>
    <t>Distribution of Revenue Allocation to FGN by Federation Account Allocation Committee for the Month of March, 2021 Shared in April, 2021</t>
  </si>
  <si>
    <t>Less Deductions</t>
  </si>
  <si>
    <t>₦</t>
  </si>
  <si>
    <t>Office of the Accountant General of the Federation</t>
  </si>
  <si>
    <r>
      <t xml:space="preserve">*   Other Deductions cover; </t>
    </r>
    <r>
      <rPr>
        <b/>
        <sz val="10"/>
        <rFont val="Times New Roman"/>
        <family val="1"/>
      </rPr>
      <t>National Water Rehabilitation Projects, National Agricultural Technology Support Programme,</t>
    </r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</si>
  <si>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</si>
  <si>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t>Distribution of Revenue Allocation to State Governments by Federation Account Allocation Committee for the month of March, 2021 Shared in April, 2021</t>
  </si>
  <si>
    <t xml:space="preserve">                                                                                                                          Federal Ministry of Finance, Abuja</t>
  </si>
  <si>
    <t>Suko Derivation</t>
  </si>
  <si>
    <t>Distribution from  Exchange Gain</t>
  </si>
  <si>
    <t>Deduction</t>
  </si>
  <si>
    <t>Gross Net Allocation</t>
  </si>
  <si>
    <t>Distribution of ₦30 Billion from Non-Oil Excess Account for the Month</t>
  </si>
  <si>
    <t>Office of the Accountant-General of the Federation</t>
  </si>
  <si>
    <t>Federal Ministry of Finance, Abuja.</t>
  </si>
  <si>
    <t>Exchange Gain Allocation</t>
  </si>
  <si>
    <t>Total LGCs</t>
  </si>
  <si>
    <t>Distribution of 30 Billion from Non- Oil Excess Account for the Month</t>
  </si>
  <si>
    <t>Distribution of ₦ 30 Billion from Non- Oil Excess Account for the Month</t>
  </si>
  <si>
    <t xml:space="preserve"> Statutory Allocation     (Ecology)</t>
  </si>
  <si>
    <t>Total States</t>
  </si>
  <si>
    <t>8(4+5+6+7+8)</t>
  </si>
  <si>
    <t>Distribution of ₦ 30 Billion from Non- Oil Excess Account for the Month (Ecology)</t>
  </si>
  <si>
    <t>Exchange Gain Allocation(Ecology)</t>
  </si>
  <si>
    <t>Total Net Amount (Ecology)</t>
  </si>
  <si>
    <t>ABIA STATE</t>
  </si>
  <si>
    <t>ADAMAWA STATE</t>
  </si>
  <si>
    <t>AKWA IBOM STATE</t>
  </si>
  <si>
    <t>ANAMBRA STATE</t>
  </si>
  <si>
    <t>BAUCHI STATE</t>
  </si>
  <si>
    <t>BAYELSA STATE</t>
  </si>
  <si>
    <t>BENUE STATE</t>
  </si>
  <si>
    <t>BORNO STATE</t>
  </si>
  <si>
    <t>CROSS RIVER STATE</t>
  </si>
  <si>
    <t>DELTA STATE</t>
  </si>
  <si>
    <t>EBONYI STATE</t>
  </si>
  <si>
    <t>EDO STATE</t>
  </si>
  <si>
    <t>EKITI STATE</t>
  </si>
  <si>
    <t>ENUGU STATE</t>
  </si>
  <si>
    <t>GOMBE STATE</t>
  </si>
  <si>
    <t>IMO STATE</t>
  </si>
  <si>
    <t>JIGAWA STATE</t>
  </si>
  <si>
    <t>KADUNA STATE</t>
  </si>
  <si>
    <t>KANO STATE</t>
  </si>
  <si>
    <t>KATSINA STATE</t>
  </si>
  <si>
    <t>KEBBI STATE</t>
  </si>
  <si>
    <t>KOGI STATE</t>
  </si>
  <si>
    <t>KWARA STATE</t>
  </si>
  <si>
    <t>LAGOS STATE</t>
  </si>
  <si>
    <t>NASSARAWA STATE</t>
  </si>
  <si>
    <t>NIGER STATE</t>
  </si>
  <si>
    <t>OGUN STATE</t>
  </si>
  <si>
    <t>ONDO STATE</t>
  </si>
  <si>
    <t>OSUN STATE</t>
  </si>
  <si>
    <t>OYO STATE</t>
  </si>
  <si>
    <t>PLATEAU STATE</t>
  </si>
  <si>
    <t>RIVERS STATE</t>
  </si>
  <si>
    <t>SOKOTO STATE</t>
  </si>
  <si>
    <t>TARABA STATE</t>
  </si>
  <si>
    <t>YOBE STATE</t>
  </si>
  <si>
    <t>ZAMFARA STATE</t>
  </si>
  <si>
    <t>11(3+4+5+6+7+8+9+10)</t>
  </si>
  <si>
    <t>ABIA LGCS</t>
  </si>
  <si>
    <t>ADAMAWA LGCS</t>
  </si>
  <si>
    <t>AKWA IBOM LGCS</t>
  </si>
  <si>
    <t>ANAMBRA LGCS</t>
  </si>
  <si>
    <t>BAUCHI LGCS</t>
  </si>
  <si>
    <t>BAYELSA LGCS</t>
  </si>
  <si>
    <t>BENUE LGCS</t>
  </si>
  <si>
    <t>BORNO LGCS</t>
  </si>
  <si>
    <t>CROSS RIVER LGCS</t>
  </si>
  <si>
    <t>DELTA LGCS</t>
  </si>
  <si>
    <t>EBONYI LGCS</t>
  </si>
  <si>
    <t>EDO LGCS</t>
  </si>
  <si>
    <t>EKITI LGCS</t>
  </si>
  <si>
    <t>ENUGU LGCS</t>
  </si>
  <si>
    <t>GOMBE LGCS</t>
  </si>
  <si>
    <t>IMO LGCS</t>
  </si>
  <si>
    <t>JIGAWA LGCS</t>
  </si>
  <si>
    <t>KADUNA LGCS</t>
  </si>
  <si>
    <t>KANO LGCS</t>
  </si>
  <si>
    <t>KATSINA LGCS</t>
  </si>
  <si>
    <t>KEBBI LGCS</t>
  </si>
  <si>
    <t>KOGI LGCS</t>
  </si>
  <si>
    <t>KWARA LGCS</t>
  </si>
  <si>
    <t>LAGOS LGCS</t>
  </si>
  <si>
    <t>NASSARAWA LGCS</t>
  </si>
  <si>
    <t>NIGER LGCS</t>
  </si>
  <si>
    <t>OGUN LGCS</t>
  </si>
  <si>
    <t>ONDO LGCS</t>
  </si>
  <si>
    <t>OSUN LGCS</t>
  </si>
  <si>
    <t>OYO LGCS</t>
  </si>
  <si>
    <t>PLATEAU LGCS</t>
  </si>
  <si>
    <t>RIVERS LGCS</t>
  </si>
  <si>
    <t>SOKOTO LGCS</t>
  </si>
  <si>
    <t>TARABA LGCS</t>
  </si>
  <si>
    <t>YOBE LGCS</t>
  </si>
  <si>
    <t>ZAMFARA LGCS</t>
  </si>
  <si>
    <t>FCT-ABUJA LGCS</t>
  </si>
  <si>
    <t>17=6+11+12+13</t>
  </si>
  <si>
    <t>18=10+11+12+13+15</t>
  </si>
  <si>
    <t>Total Share of Ecology</t>
  </si>
  <si>
    <t>13% Derivation Refund to Oil Producing States</t>
  </si>
  <si>
    <t>Refund to States on WHT and Stamp Duties on Individuals</t>
  </si>
  <si>
    <t>Transfer to Non Oil Revenue</t>
  </si>
  <si>
    <t xml:space="preserve"> Statutory Allocation</t>
  </si>
  <si>
    <t>HYPPADEC</t>
  </si>
  <si>
    <t>Total (States</t>
  </si>
  <si>
    <t>4=2-3</t>
  </si>
  <si>
    <t>8=4+5+6+7</t>
  </si>
  <si>
    <t>Dr. (Mrs.) Zainab S. Ahmed</t>
  </si>
  <si>
    <t>Hon. Minister of Finance, Budget and National Planning.</t>
  </si>
  <si>
    <t>Summary of Distribution of Revenue Allocation to Local Government Councils by Federation Account Allocation Committee for the month of March, 2021 Shared in April, 2021</t>
  </si>
  <si>
    <t>Total Ecology</t>
  </si>
  <si>
    <t>Details of Distribution of Ecological Funds Allocation to States by Federation Account Allocation Committee for the month of March, 2021 Shared in April,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</si>
</sst>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8"/>
      <name val="Times New Roman"/>
      <family val="1"/>
    </font>
    <font>
      <b/>
      <sz val="18"/>
      <name val="Times New Roman"/>
      <family val="1"/>
    </font>
    <font>
      <b/>
      <u/>
      <sz val="18"/>
      <name val="Times New Roman"/>
      <family val="1"/>
    </font>
    <font>
      <sz val="18"/>
      <color indexed="8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20"/>
      <name val="Times New Roman"/>
      <family val="1"/>
    </font>
    <font>
      <sz val="20"/>
      <name val="Arial"/>
      <family val="2"/>
    </font>
    <font>
      <sz val="10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5" fillId="0" borderId="0" xfId="0" applyFont="1" applyAlignment="1"/>
    <xf numFmtId="0" fontId="3" fillId="0" borderId="0" xfId="0" applyFont="1" applyBorder="1" applyAlignment="1"/>
    <xf numFmtId="0" fontId="0" fillId="0" borderId="0" xfId="0" applyAlignment="1"/>
    <xf numFmtId="164" fontId="0" fillId="0" borderId="0" xfId="0" applyNumberFormat="1"/>
    <xf numFmtId="43" fontId="0" fillId="0" borderId="0" xfId="1" applyFont="1"/>
    <xf numFmtId="0" fontId="0" fillId="2" borderId="0" xfId="0" applyFill="1" applyProtection="1">
      <protection locked="0"/>
    </xf>
    <xf numFmtId="17" fontId="0" fillId="0" borderId="0" xfId="0" applyNumberFormat="1"/>
    <xf numFmtId="17" fontId="5" fillId="2" borderId="0" xfId="0" applyNumberFormat="1" applyFont="1" applyFill="1" applyAlignment="1"/>
    <xf numFmtId="2" fontId="0" fillId="0" borderId="0" xfId="0" applyNumberFormat="1"/>
    <xf numFmtId="0" fontId="6" fillId="0" borderId="0" xfId="0" applyFont="1" applyFill="1" applyBorder="1"/>
    <xf numFmtId="0" fontId="6" fillId="0" borderId="0" xfId="0" applyFont="1"/>
    <xf numFmtId="0" fontId="6" fillId="0" borderId="0" xfId="0" applyFont="1" applyAlignment="1"/>
    <xf numFmtId="0" fontId="8" fillId="0" borderId="0" xfId="0" applyFont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1" xfId="0" applyFont="1" applyBorder="1" applyAlignment="1"/>
    <xf numFmtId="0" fontId="6" fillId="0" borderId="0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6" fillId="0" borderId="2" xfId="0" applyFont="1" applyBorder="1"/>
    <xf numFmtId="43" fontId="7" fillId="0" borderId="6" xfId="1" applyFont="1" applyBorder="1" applyAlignment="1"/>
    <xf numFmtId="43" fontId="7" fillId="0" borderId="2" xfId="1" applyFont="1" applyBorder="1" applyAlignment="1"/>
    <xf numFmtId="43" fontId="7" fillId="0" borderId="0" xfId="1" applyFont="1" applyBorder="1" applyAlignment="1"/>
    <xf numFmtId="43" fontId="7" fillId="0" borderId="0" xfId="1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 applyAlignment="1">
      <alignment wrapText="1"/>
    </xf>
    <xf numFmtId="164" fontId="6" fillId="0" borderId="0" xfId="0" applyNumberFormat="1" applyFont="1" applyAlignment="1">
      <alignment horizontal="right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6" fillId="0" borderId="2" xfId="0" applyFont="1" applyBorder="1" applyAlignment="1"/>
    <xf numFmtId="43" fontId="6" fillId="0" borderId="7" xfId="1" applyFont="1" applyBorder="1"/>
    <xf numFmtId="43" fontId="6" fillId="0" borderId="2" xfId="1" applyFont="1" applyBorder="1"/>
    <xf numFmtId="43" fontId="6" fillId="0" borderId="0" xfId="0" applyNumberFormat="1" applyFont="1"/>
    <xf numFmtId="0" fontId="7" fillId="0" borderId="6" xfId="0" applyFont="1" applyBorder="1" applyAlignment="1"/>
    <xf numFmtId="43" fontId="7" fillId="0" borderId="8" xfId="1" applyFont="1" applyBorder="1"/>
    <xf numFmtId="164" fontId="6" fillId="0" borderId="0" xfId="0" applyNumberFormat="1" applyFont="1"/>
    <xf numFmtId="0" fontId="7" fillId="0" borderId="0" xfId="0" applyFont="1"/>
    <xf numFmtId="0" fontId="7" fillId="0" borderId="4" xfId="0" applyFont="1" applyBorder="1" applyAlignment="1"/>
    <xf numFmtId="43" fontId="9" fillId="0" borderId="1" xfId="1" applyFont="1" applyFill="1" applyBorder="1" applyAlignment="1">
      <alignment horizontal="right" wrapText="1"/>
    </xf>
    <xf numFmtId="43" fontId="7" fillId="0" borderId="12" xfId="1" applyFont="1" applyBorder="1" applyAlignment="1"/>
    <xf numFmtId="43" fontId="7" fillId="0" borderId="14" xfId="1" applyFont="1" applyBorder="1" applyAlignment="1"/>
    <xf numFmtId="43" fontId="6" fillId="0" borderId="6" xfId="1" applyFont="1" applyBorder="1" applyAlignment="1"/>
    <xf numFmtId="43" fontId="6" fillId="0" borderId="14" xfId="1" applyFont="1" applyBorder="1" applyAlignment="1"/>
    <xf numFmtId="43" fontId="6" fillId="0" borderId="2" xfId="1" applyFont="1" applyBorder="1" applyAlignment="1"/>
    <xf numFmtId="43" fontId="6" fillId="3" borderId="6" xfId="1" applyFont="1" applyFill="1" applyBorder="1" applyAlignment="1"/>
    <xf numFmtId="0" fontId="6" fillId="0" borderId="2" xfId="0" applyFont="1" applyBorder="1" applyAlignment="1">
      <alignment horizontal="left" wrapText="1"/>
    </xf>
    <xf numFmtId="0" fontId="6" fillId="3" borderId="0" xfId="0" applyFont="1" applyFill="1"/>
    <xf numFmtId="0" fontId="7" fillId="0" borderId="0" xfId="0" applyFont="1" applyFill="1" applyBorder="1" applyAlignment="1">
      <alignment horizontal="center" wrapText="1"/>
    </xf>
    <xf numFmtId="43" fontId="6" fillId="0" borderId="0" xfId="0" applyNumberFormat="1" applyFont="1" applyBorder="1"/>
    <xf numFmtId="0" fontId="10" fillId="0" borderId="0" xfId="0" applyFont="1" applyAlignment="1">
      <alignment horizontal="center"/>
    </xf>
    <xf numFmtId="0" fontId="11" fillId="0" borderId="6" xfId="0" quotePrefix="1" applyFont="1" applyBorder="1" applyAlignment="1">
      <alignment horizontal="center"/>
    </xf>
    <xf numFmtId="0" fontId="13" fillId="0" borderId="6" xfId="0" quotePrefix="1" applyFont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0" xfId="0" applyFont="1" applyBorder="1"/>
    <xf numFmtId="0" fontId="18" fillId="0" borderId="2" xfId="0" applyFont="1" applyBorder="1" applyAlignment="1">
      <alignment horizontal="center"/>
    </xf>
    <xf numFmtId="0" fontId="16" fillId="0" borderId="2" xfId="0" applyFont="1" applyBorder="1"/>
    <xf numFmtId="0" fontId="18" fillId="0" borderId="2" xfId="0" applyFont="1" applyBorder="1" applyAlignment="1">
      <alignment horizontal="center" wrapText="1"/>
    </xf>
    <xf numFmtId="39" fontId="16" fillId="0" borderId="2" xfId="0" applyNumberFormat="1" applyFont="1" applyBorder="1"/>
    <xf numFmtId="37" fontId="16" fillId="0" borderId="2" xfId="0" applyNumberFormat="1" applyFont="1" applyBorder="1" applyAlignment="1">
      <alignment horizontal="center"/>
    </xf>
    <xf numFmtId="43" fontId="16" fillId="0" borderId="2" xfId="1" applyFont="1" applyBorder="1"/>
    <xf numFmtId="43" fontId="16" fillId="0" borderId="2" xfId="0" applyNumberFormat="1" applyFont="1" applyBorder="1"/>
    <xf numFmtId="40" fontId="16" fillId="0" borderId="2" xfId="0" applyNumberFormat="1" applyFont="1" applyBorder="1"/>
    <xf numFmtId="43" fontId="18" fillId="0" borderId="2" xfId="0" applyNumberFormat="1" applyFont="1" applyBorder="1"/>
    <xf numFmtId="43" fontId="18" fillId="0" borderId="3" xfId="0" applyNumberFormat="1" applyFont="1" applyBorder="1"/>
    <xf numFmtId="43" fontId="16" fillId="0" borderId="3" xfId="1" applyFont="1" applyBorder="1"/>
    <xf numFmtId="0" fontId="16" fillId="0" borderId="2" xfId="0" applyFont="1" applyBorder="1" applyAlignment="1">
      <alignment horizontal="center"/>
    </xf>
    <xf numFmtId="43" fontId="18" fillId="0" borderId="5" xfId="1" applyFont="1" applyBorder="1"/>
    <xf numFmtId="43" fontId="16" fillId="0" borderId="0" xfId="0" applyNumberFormat="1" applyFont="1"/>
    <xf numFmtId="164" fontId="16" fillId="0" borderId="0" xfId="0" applyNumberFormat="1" applyFont="1"/>
    <xf numFmtId="0" fontId="18" fillId="0" borderId="0" xfId="0" applyFont="1"/>
    <xf numFmtId="0" fontId="19" fillId="0" borderId="0" xfId="0" applyFont="1" applyFill="1" applyBorder="1"/>
    <xf numFmtId="0" fontId="16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left" wrapText="1"/>
    </xf>
    <xf numFmtId="165" fontId="23" fillId="0" borderId="2" xfId="1" applyNumberFormat="1" applyFont="1" applyBorder="1" applyAlignment="1">
      <alignment horizontal="left"/>
    </xf>
    <xf numFmtId="165" fontId="23" fillId="0" borderId="2" xfId="1" applyNumberFormat="1" applyFont="1" applyBorder="1" applyAlignment="1">
      <alignment horizontal="left" vertical="top"/>
    </xf>
    <xf numFmtId="43" fontId="23" fillId="0" borderId="2" xfId="1" applyFont="1" applyBorder="1" applyAlignment="1">
      <alignment horizontal="left" vertical="top"/>
    </xf>
    <xf numFmtId="43" fontId="23" fillId="0" borderId="2" xfId="1" applyFont="1" applyBorder="1" applyAlignment="1">
      <alignment horizontal="center"/>
    </xf>
    <xf numFmtId="43" fontId="24" fillId="0" borderId="2" xfId="1" applyFont="1" applyBorder="1"/>
    <xf numFmtId="43" fontId="24" fillId="0" borderId="2" xfId="1" applyFont="1" applyBorder="1" applyAlignment="1">
      <alignment wrapText="1"/>
    </xf>
    <xf numFmtId="43" fontId="24" fillId="0" borderId="2" xfId="1" applyFont="1" applyBorder="1" applyAlignment="1">
      <alignment horizontal="center" wrapText="1"/>
    </xf>
    <xf numFmtId="43" fontId="24" fillId="0" borderId="2" xfId="1" applyFont="1" applyBorder="1" applyAlignment="1">
      <alignment horizontal="center"/>
    </xf>
    <xf numFmtId="43" fontId="17" fillId="0" borderId="2" xfId="1" applyFont="1" applyBorder="1"/>
    <xf numFmtId="165" fontId="17" fillId="0" borderId="2" xfId="1" applyNumberFormat="1" applyFont="1" applyBorder="1" applyAlignment="1">
      <alignment horizontal="left"/>
    </xf>
    <xf numFmtId="165" fontId="17" fillId="0" borderId="2" xfId="1" applyNumberFormat="1" applyFont="1" applyBorder="1"/>
    <xf numFmtId="43" fontId="23" fillId="0" borderId="2" xfId="1" applyFont="1" applyBorder="1"/>
    <xf numFmtId="43" fontId="12" fillId="0" borderId="2" xfId="1" applyFont="1" applyBorder="1"/>
    <xf numFmtId="0" fontId="24" fillId="0" borderId="2" xfId="0" applyFont="1" applyBorder="1" applyAlignment="1">
      <alignment horizontal="center" wrapText="1"/>
    </xf>
    <xf numFmtId="43" fontId="17" fillId="0" borderId="2" xfId="1" applyFont="1" applyBorder="1" applyAlignment="1">
      <alignment wrapText="1"/>
    </xf>
    <xf numFmtId="0" fontId="10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43" fontId="0" fillId="0" borderId="2" xfId="1" applyFont="1" applyBorder="1"/>
    <xf numFmtId="43" fontId="17" fillId="0" borderId="2" xfId="1" applyFont="1" applyBorder="1" applyAlignment="1">
      <alignment horizontal="left"/>
    </xf>
    <xf numFmtId="0" fontId="19" fillId="0" borderId="6" xfId="0" applyFont="1" applyBorder="1" applyAlignment="1">
      <alignment horizontal="left" wrapText="1"/>
    </xf>
    <xf numFmtId="0" fontId="16" fillId="0" borderId="3" xfId="0" applyFont="1" applyBorder="1" applyAlignment="1">
      <alignment horizontal="center" wrapText="1"/>
    </xf>
    <xf numFmtId="43" fontId="16" fillId="0" borderId="9" xfId="1" applyFont="1" applyBorder="1"/>
    <xf numFmtId="43" fontId="16" fillId="0" borderId="9" xfId="0" applyNumberFormat="1" applyFont="1" applyBorder="1"/>
    <xf numFmtId="40" fontId="16" fillId="0" borderId="9" xfId="0" applyNumberFormat="1" applyFont="1" applyBorder="1"/>
    <xf numFmtId="43" fontId="18" fillId="0" borderId="9" xfId="0" applyNumberFormat="1" applyFont="1" applyBorder="1"/>
    <xf numFmtId="0" fontId="7" fillId="0" borderId="0" xfId="0" applyFont="1" applyAlignment="1"/>
    <xf numFmtId="43" fontId="17" fillId="0" borderId="2" xfId="0" applyNumberFormat="1" applyFont="1" applyBorder="1"/>
    <xf numFmtId="43" fontId="0" fillId="0" borderId="0" xfId="0" applyNumberFormat="1"/>
    <xf numFmtId="0" fontId="8" fillId="0" borderId="0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8" fillId="0" borderId="6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43" fontId="21" fillId="0" borderId="6" xfId="1" applyFont="1" applyBorder="1" applyAlignment="1">
      <alignment horizontal="center"/>
    </xf>
    <xf numFmtId="43" fontId="21" fillId="0" borderId="13" xfId="1" applyFont="1" applyBorder="1" applyAlignment="1">
      <alignment horizontal="center"/>
    </xf>
    <xf numFmtId="43" fontId="21" fillId="0" borderId="3" xfId="1" applyFont="1" applyBorder="1" applyAlignment="1">
      <alignment horizontal="center"/>
    </xf>
    <xf numFmtId="0" fontId="22" fillId="0" borderId="6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165" fontId="17" fillId="0" borderId="6" xfId="1" applyNumberFormat="1" applyFont="1" applyBorder="1" applyAlignment="1">
      <alignment horizontal="center"/>
    </xf>
    <xf numFmtId="165" fontId="17" fillId="0" borderId="13" xfId="1" applyNumberFormat="1" applyFont="1" applyBorder="1" applyAlignment="1">
      <alignment horizontal="center"/>
    </xf>
    <xf numFmtId="165" fontId="17" fillId="0" borderId="3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3.2" x14ac:dyDescent="0.25"/>
  <cols>
    <col min="2" max="2" width="23" bestFit="1" customWidth="1"/>
    <col min="6" max="6" width="24.5546875" customWidth="1"/>
  </cols>
  <sheetData>
    <row r="1" spans="1:8" ht="23.1" customHeight="1" x14ac:dyDescent="0.25">
      <c r="B1">
        <f ca="1">MONTH(NOW())</f>
        <v>2</v>
      </c>
      <c r="C1">
        <f ca="1">YEAR(NOW())</f>
        <v>2022</v>
      </c>
    </row>
    <row r="2" spans="1:8" ht="23.1" customHeight="1" x14ac:dyDescent="0.25"/>
    <row r="3" spans="1:8" ht="23.1" customHeight="1" x14ac:dyDescent="0.25">
      <c r="B3" t="s">
        <v>77</v>
      </c>
      <c r="F3" t="s">
        <v>78</v>
      </c>
    </row>
    <row r="4" spans="1:8" ht="23.1" customHeight="1" x14ac:dyDescent="0.25">
      <c r="B4" t="s">
        <v>74</v>
      </c>
      <c r="C4" t="s">
        <v>75</v>
      </c>
      <c r="D4" t="s">
        <v>76</v>
      </c>
      <c r="F4" t="s">
        <v>74</v>
      </c>
      <c r="G4" t="s">
        <v>75</v>
      </c>
      <c r="H4" t="s">
        <v>76</v>
      </c>
    </row>
    <row r="5" spans="1:8" ht="23.1" customHeight="1" x14ac:dyDescent="0.25">
      <c r="B5" s="6" t="e">
        <f>IF(G5=1,F5-1,F5)</f>
        <v>#REF!</v>
      </c>
      <c r="C5" s="6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4">
      <c r="B6" s="8" t="e">
        <f>LOOKUP(C5,A8:B19)</f>
        <v>#REF!</v>
      </c>
      <c r="F6" s="8" t="e">
        <f>IF(G5=1,LOOKUP(G5,E8:F19),LOOKUP(G5,A8:B19))</f>
        <v>#REF!</v>
      </c>
    </row>
    <row r="8" spans="1:8" x14ac:dyDescent="0.25">
      <c r="A8">
        <v>1</v>
      </c>
      <c r="B8" s="9" t="e">
        <f>D8&amp;"-"&amp;RIGHT(B$5,2)</f>
        <v>#REF!</v>
      </c>
      <c r="D8" s="7" t="s">
        <v>87</v>
      </c>
      <c r="E8">
        <v>1</v>
      </c>
      <c r="F8" s="9" t="e">
        <f>D8&amp;"-"&amp;RIGHT(F$5,2)</f>
        <v>#REF!</v>
      </c>
    </row>
    <row r="9" spans="1:8" x14ac:dyDescent="0.25">
      <c r="A9">
        <v>2</v>
      </c>
      <c r="B9" s="9" t="e">
        <f t="shared" ref="B9:B19" si="0">D9&amp;"-"&amp;RIGHT(B$5,2)</f>
        <v>#REF!</v>
      </c>
      <c r="D9" s="7" t="s">
        <v>88</v>
      </c>
      <c r="E9">
        <v>2</v>
      </c>
      <c r="F9" s="9" t="e">
        <f t="shared" ref="F9:F19" si="1">D9&amp;"-"&amp;RIGHT(F$5,2)</f>
        <v>#REF!</v>
      </c>
    </row>
    <row r="10" spans="1:8" x14ac:dyDescent="0.25">
      <c r="A10">
        <v>3</v>
      </c>
      <c r="B10" s="9" t="e">
        <f t="shared" si="0"/>
        <v>#REF!</v>
      </c>
      <c r="D10" s="7" t="s">
        <v>89</v>
      </c>
      <c r="E10">
        <v>3</v>
      </c>
      <c r="F10" s="9" t="e">
        <f t="shared" si="1"/>
        <v>#REF!</v>
      </c>
    </row>
    <row r="11" spans="1:8" x14ac:dyDescent="0.25">
      <c r="A11">
        <v>4</v>
      </c>
      <c r="B11" s="9" t="e">
        <f t="shared" si="0"/>
        <v>#REF!</v>
      </c>
      <c r="D11" s="7" t="s">
        <v>90</v>
      </c>
      <c r="E11">
        <v>4</v>
      </c>
      <c r="F11" s="9" t="e">
        <f t="shared" si="1"/>
        <v>#REF!</v>
      </c>
    </row>
    <row r="12" spans="1:8" x14ac:dyDescent="0.25">
      <c r="A12">
        <v>5</v>
      </c>
      <c r="B12" s="9" t="e">
        <f t="shared" si="0"/>
        <v>#REF!</v>
      </c>
      <c r="D12" s="7" t="s">
        <v>79</v>
      </c>
      <c r="E12">
        <v>5</v>
      </c>
      <c r="F12" s="9" t="e">
        <f t="shared" si="1"/>
        <v>#REF!</v>
      </c>
    </row>
    <row r="13" spans="1:8" x14ac:dyDescent="0.25">
      <c r="A13">
        <v>6</v>
      </c>
      <c r="B13" s="9" t="e">
        <f t="shared" si="0"/>
        <v>#REF!</v>
      </c>
      <c r="D13" s="7" t="s">
        <v>80</v>
      </c>
      <c r="E13">
        <v>6</v>
      </c>
      <c r="F13" s="9" t="e">
        <f t="shared" si="1"/>
        <v>#REF!</v>
      </c>
    </row>
    <row r="14" spans="1:8" x14ac:dyDescent="0.25">
      <c r="A14">
        <v>7</v>
      </c>
      <c r="B14" s="9" t="e">
        <f t="shared" si="0"/>
        <v>#REF!</v>
      </c>
      <c r="D14" s="7" t="s">
        <v>81</v>
      </c>
      <c r="E14">
        <v>7</v>
      </c>
      <c r="F14" s="9" t="e">
        <f t="shared" si="1"/>
        <v>#REF!</v>
      </c>
    </row>
    <row r="15" spans="1:8" x14ac:dyDescent="0.25">
      <c r="A15">
        <v>8</v>
      </c>
      <c r="B15" s="9" t="e">
        <f t="shared" si="0"/>
        <v>#REF!</v>
      </c>
      <c r="D15" s="7" t="s">
        <v>82</v>
      </c>
      <c r="E15">
        <v>8</v>
      </c>
      <c r="F15" s="9" t="e">
        <f t="shared" si="1"/>
        <v>#REF!</v>
      </c>
    </row>
    <row r="16" spans="1:8" x14ac:dyDescent="0.25">
      <c r="A16">
        <v>9</v>
      </c>
      <c r="B16" s="9" t="e">
        <f t="shared" si="0"/>
        <v>#REF!</v>
      </c>
      <c r="D16" s="7" t="s">
        <v>83</v>
      </c>
      <c r="E16">
        <v>9</v>
      </c>
      <c r="F16" s="9" t="e">
        <f t="shared" si="1"/>
        <v>#REF!</v>
      </c>
    </row>
    <row r="17" spans="1:6" x14ac:dyDescent="0.25">
      <c r="A17">
        <v>10</v>
      </c>
      <c r="B17" s="9" t="e">
        <f t="shared" si="0"/>
        <v>#REF!</v>
      </c>
      <c r="D17" s="7" t="s">
        <v>84</v>
      </c>
      <c r="E17">
        <v>10</v>
      </c>
      <c r="F17" s="9" t="e">
        <f t="shared" si="1"/>
        <v>#REF!</v>
      </c>
    </row>
    <row r="18" spans="1:6" x14ac:dyDescent="0.25">
      <c r="A18">
        <v>11</v>
      </c>
      <c r="B18" s="9" t="e">
        <f t="shared" si="0"/>
        <v>#REF!</v>
      </c>
      <c r="D18" s="7" t="s">
        <v>85</v>
      </c>
      <c r="E18">
        <v>11</v>
      </c>
      <c r="F18" s="9" t="e">
        <f t="shared" si="1"/>
        <v>#REF!</v>
      </c>
    </row>
    <row r="19" spans="1:6" x14ac:dyDescent="0.25">
      <c r="A19">
        <v>12</v>
      </c>
      <c r="B19" s="9" t="e">
        <f t="shared" si="0"/>
        <v>#REF!</v>
      </c>
      <c r="D19" s="7" t="s">
        <v>86</v>
      </c>
      <c r="E19">
        <v>12</v>
      </c>
      <c r="F19" s="9" t="e">
        <f t="shared" si="1"/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P45"/>
  <sheetViews>
    <sheetView tabSelected="1" topLeftCell="A13" zoomScale="40" zoomScaleNormal="40" workbookViewId="0">
      <selection activeCell="H16" sqref="H16"/>
    </sheetView>
  </sheetViews>
  <sheetFormatPr defaultRowHeight="13.2" x14ac:dyDescent="0.25"/>
  <cols>
    <col min="1" max="1" width="6.33203125" customWidth="1"/>
    <col min="2" max="2" width="40.88671875" customWidth="1"/>
    <col min="3" max="3" width="34.33203125" bestFit="1" customWidth="1"/>
    <col min="4" max="4" width="35.6640625" customWidth="1"/>
    <col min="5" max="5" width="34.33203125" customWidth="1"/>
    <col min="6" max="6" width="39.44140625" customWidth="1"/>
    <col min="7" max="7" width="40.44140625" customWidth="1"/>
    <col min="8" max="8" width="35.88671875" customWidth="1"/>
    <col min="9" max="9" width="35.33203125" customWidth="1"/>
    <col min="10" max="10" width="13.33203125" customWidth="1"/>
    <col min="11" max="11" width="12.5546875" customWidth="1"/>
    <col min="12" max="12" width="12.6640625" bestFit="1" customWidth="1"/>
    <col min="13" max="13" width="14.33203125" customWidth="1"/>
    <col min="14" max="14" width="13.21875" bestFit="1" customWidth="1"/>
  </cols>
  <sheetData>
    <row r="1" spans="1:16" ht="24.6" x14ac:dyDescent="0.4">
      <c r="A1" s="111" t="s">
        <v>94</v>
      </c>
      <c r="B1" s="111"/>
      <c r="C1" s="111"/>
      <c r="D1" s="111"/>
      <c r="E1" s="111"/>
      <c r="F1" s="111"/>
      <c r="G1" s="111"/>
      <c r="H1" s="111"/>
      <c r="I1" s="11"/>
      <c r="J1" s="11"/>
    </row>
    <row r="2" spans="1:16" ht="22.8" x14ac:dyDescent="0.4">
      <c r="A2" s="116" t="s">
        <v>110</v>
      </c>
      <c r="B2" s="116"/>
      <c r="C2" s="116"/>
      <c r="D2" s="116"/>
      <c r="E2" s="116"/>
      <c r="F2" s="116"/>
      <c r="G2" s="116"/>
      <c r="H2" s="107"/>
      <c r="I2" s="107"/>
      <c r="J2" s="107"/>
      <c r="K2" s="1"/>
      <c r="L2" s="1"/>
      <c r="O2" s="1"/>
      <c r="P2" s="1"/>
    </row>
    <row r="3" spans="1:16" ht="26.25" customHeight="1" x14ac:dyDescent="0.4">
      <c r="A3" s="116" t="s">
        <v>21</v>
      </c>
      <c r="B3" s="116"/>
      <c r="C3" s="116"/>
      <c r="D3" s="116"/>
      <c r="E3" s="116"/>
      <c r="F3" s="116"/>
      <c r="G3" s="116"/>
      <c r="H3" s="116"/>
      <c r="I3" s="12"/>
      <c r="J3" s="12"/>
      <c r="K3" s="3"/>
      <c r="L3" s="3"/>
      <c r="M3" s="3"/>
      <c r="N3" s="3"/>
      <c r="O3" s="3"/>
    </row>
    <row r="4" spans="1:16" ht="36.75" customHeight="1" x14ac:dyDescent="0.4">
      <c r="A4" s="117" t="s">
        <v>101</v>
      </c>
      <c r="B4" s="117"/>
      <c r="C4" s="117"/>
      <c r="D4" s="117"/>
      <c r="E4" s="117"/>
      <c r="F4" s="117"/>
      <c r="G4" s="117"/>
      <c r="H4" s="110"/>
      <c r="I4" s="13"/>
      <c r="J4" s="13"/>
      <c r="K4" s="2"/>
      <c r="L4" s="2"/>
      <c r="M4" s="2"/>
      <c r="N4" s="2"/>
      <c r="O4" s="2"/>
      <c r="P4" s="2"/>
    </row>
    <row r="5" spans="1:16" ht="20.25" customHeight="1" x14ac:dyDescent="0.4">
      <c r="A5" s="11"/>
      <c r="B5" s="11"/>
      <c r="C5" s="14"/>
      <c r="D5" s="15"/>
      <c r="E5" s="15"/>
      <c r="F5" s="15"/>
      <c r="G5" s="15"/>
      <c r="H5" s="16"/>
      <c r="I5" s="17"/>
      <c r="J5" s="17"/>
    </row>
    <row r="6" spans="1:16" ht="93" customHeight="1" x14ac:dyDescent="0.4">
      <c r="A6" s="44" t="s">
        <v>0</v>
      </c>
      <c r="B6" s="44" t="s">
        <v>20</v>
      </c>
      <c r="C6" s="18" t="s">
        <v>15</v>
      </c>
      <c r="D6" s="19" t="s">
        <v>115</v>
      </c>
      <c r="E6" s="19" t="s">
        <v>102</v>
      </c>
      <c r="F6" s="20" t="s">
        <v>26</v>
      </c>
      <c r="G6" s="20" t="s">
        <v>16</v>
      </c>
      <c r="H6" s="21"/>
      <c r="I6" s="22"/>
      <c r="J6" s="11"/>
    </row>
    <row r="7" spans="1:16" ht="30" customHeight="1" x14ac:dyDescent="0.4">
      <c r="A7" s="20"/>
      <c r="B7" s="20"/>
      <c r="C7" s="58" t="s">
        <v>105</v>
      </c>
      <c r="D7" s="58" t="s">
        <v>105</v>
      </c>
      <c r="E7" s="58" t="s">
        <v>105</v>
      </c>
      <c r="F7" s="58" t="s">
        <v>105</v>
      </c>
      <c r="G7" s="59" t="s">
        <v>105</v>
      </c>
      <c r="H7" s="23"/>
      <c r="I7" s="23"/>
      <c r="J7" s="11"/>
    </row>
    <row r="8" spans="1:16" ht="30" customHeight="1" x14ac:dyDescent="0.4">
      <c r="A8" s="24">
        <v>1</v>
      </c>
      <c r="B8" s="24" t="s">
        <v>23</v>
      </c>
      <c r="C8" s="45">
        <v>185365092238.401</v>
      </c>
      <c r="D8" s="48">
        <v>15804000000</v>
      </c>
      <c r="E8" s="50">
        <v>1431886225.5093999</v>
      </c>
      <c r="F8" s="51">
        <v>25348827516.125999</v>
      </c>
      <c r="G8" s="26">
        <f>C8+D8+E8+F8</f>
        <v>227949805980.03641</v>
      </c>
      <c r="H8" s="27"/>
      <c r="I8" s="27"/>
      <c r="J8" s="27"/>
      <c r="K8" s="27"/>
      <c r="L8" s="27"/>
    </row>
    <row r="9" spans="1:16" ht="22.8" x14ac:dyDescent="0.4">
      <c r="A9" s="24">
        <v>2</v>
      </c>
      <c r="B9" s="24" t="s">
        <v>28</v>
      </c>
      <c r="C9" s="48">
        <v>94019651947.799698</v>
      </c>
      <c r="D9" s="48">
        <v>8016000000</v>
      </c>
      <c r="E9" s="50">
        <v>726271828.88409996</v>
      </c>
      <c r="F9" s="48">
        <v>84496091720.419998</v>
      </c>
      <c r="G9" s="26">
        <f t="shared" ref="G9:G21" si="0">C9+D9+E9+F9</f>
        <v>187258015497.10379</v>
      </c>
      <c r="H9" s="27"/>
      <c r="I9" s="27"/>
      <c r="J9" s="27"/>
      <c r="K9" s="27"/>
      <c r="L9" s="27"/>
    </row>
    <row r="10" spans="1:16" ht="22.8" x14ac:dyDescent="0.4">
      <c r="A10" s="24">
        <v>3</v>
      </c>
      <c r="B10" s="24" t="s">
        <v>29</v>
      </c>
      <c r="C10" s="48">
        <v>72485210708.258804</v>
      </c>
      <c r="D10" s="48">
        <v>6180000000</v>
      </c>
      <c r="E10" s="50">
        <v>559925137.53999996</v>
      </c>
      <c r="F10" s="48">
        <v>59147264204.293999</v>
      </c>
      <c r="G10" s="26">
        <f t="shared" si="0"/>
        <v>138372400050.0928</v>
      </c>
      <c r="H10" s="27"/>
      <c r="I10" s="27"/>
      <c r="J10" s="27"/>
      <c r="K10" s="27"/>
      <c r="L10" s="27"/>
    </row>
    <row r="11" spans="1:16" ht="22.8" x14ac:dyDescent="0.4">
      <c r="A11" s="24">
        <v>4</v>
      </c>
      <c r="B11" s="24" t="s">
        <v>17</v>
      </c>
      <c r="C11" s="48">
        <v>40028463186.039902</v>
      </c>
      <c r="D11" s="48">
        <v>0</v>
      </c>
      <c r="E11" s="50">
        <v>212880426.55880001</v>
      </c>
      <c r="F11" s="25">
        <v>0</v>
      </c>
      <c r="G11" s="26">
        <f>C11+D11+E11+F11</f>
        <v>40241343612.598701</v>
      </c>
      <c r="H11" s="27"/>
      <c r="I11" s="27"/>
      <c r="J11" s="27"/>
      <c r="K11" s="27"/>
      <c r="L11" s="27"/>
    </row>
    <row r="12" spans="1:16" ht="22.8" x14ac:dyDescent="0.4">
      <c r="A12" s="24">
        <v>5</v>
      </c>
      <c r="B12" s="24" t="s">
        <v>36</v>
      </c>
      <c r="C12" s="48">
        <v>6253572246.5900002</v>
      </c>
      <c r="D12" s="25">
        <v>0</v>
      </c>
      <c r="E12" s="25">
        <v>0</v>
      </c>
      <c r="F12" s="48">
        <v>669455647.34000003</v>
      </c>
      <c r="G12" s="26">
        <f t="shared" si="0"/>
        <v>6923027893.9300003</v>
      </c>
      <c r="H12" s="27"/>
      <c r="I12" s="27"/>
      <c r="J12" s="27"/>
      <c r="K12" s="27"/>
      <c r="L12" s="27"/>
    </row>
    <row r="13" spans="1:16" ht="22.8" x14ac:dyDescent="0.4">
      <c r="A13" s="24">
        <v>6</v>
      </c>
      <c r="B13" s="24" t="s">
        <v>95</v>
      </c>
      <c r="C13" s="48">
        <v>10025935096.110001</v>
      </c>
      <c r="D13" s="25">
        <v>0</v>
      </c>
      <c r="E13" s="25">
        <v>0</v>
      </c>
      <c r="F13" s="48">
        <v>6599025360.8699999</v>
      </c>
      <c r="G13" s="26">
        <f t="shared" si="0"/>
        <v>16624960456.98</v>
      </c>
      <c r="H13" s="27"/>
      <c r="I13" s="27"/>
      <c r="J13" s="27"/>
      <c r="K13" s="27"/>
      <c r="L13" s="27"/>
    </row>
    <row r="14" spans="1:16" ht="22.8" x14ac:dyDescent="0.4">
      <c r="A14" s="24">
        <v>7</v>
      </c>
      <c r="B14" s="30" t="s">
        <v>100</v>
      </c>
      <c r="C14" s="48">
        <v>9422801858.9400005</v>
      </c>
      <c r="D14" s="25">
        <v>0</v>
      </c>
      <c r="E14" s="25">
        <v>0</v>
      </c>
      <c r="F14" s="25">
        <v>0</v>
      </c>
      <c r="G14" s="26">
        <f t="shared" si="0"/>
        <v>9422801858.9400005</v>
      </c>
      <c r="H14" s="27"/>
      <c r="I14" s="27"/>
      <c r="J14" s="27"/>
      <c r="K14" s="27"/>
      <c r="L14" s="27"/>
    </row>
    <row r="15" spans="1:16" ht="22.8" x14ac:dyDescent="0.4">
      <c r="A15" s="24">
        <v>8</v>
      </c>
      <c r="B15" s="30" t="s">
        <v>96</v>
      </c>
      <c r="C15" s="49">
        <v>4000000000</v>
      </c>
      <c r="D15" s="47">
        <v>0</v>
      </c>
      <c r="E15" s="47">
        <v>0</v>
      </c>
      <c r="F15" s="46">
        <v>0</v>
      </c>
      <c r="G15" s="26">
        <f t="shared" si="0"/>
        <v>4000000000</v>
      </c>
      <c r="H15" s="27"/>
      <c r="I15" s="27"/>
      <c r="J15" s="27"/>
      <c r="K15" s="27"/>
      <c r="L15" s="27"/>
    </row>
    <row r="16" spans="1:16" ht="45.6" x14ac:dyDescent="0.4">
      <c r="A16" s="24">
        <v>9</v>
      </c>
      <c r="B16" s="30" t="s">
        <v>97</v>
      </c>
      <c r="C16" s="50">
        <v>100000000</v>
      </c>
      <c r="D16" s="47">
        <v>0</v>
      </c>
      <c r="E16" s="47">
        <v>0</v>
      </c>
      <c r="F16" s="47">
        <v>0</v>
      </c>
      <c r="G16" s="26">
        <f t="shared" si="0"/>
        <v>100000000</v>
      </c>
      <c r="H16" s="27"/>
      <c r="I16" s="27"/>
      <c r="J16" s="27"/>
      <c r="K16" s="27"/>
      <c r="L16" s="27"/>
    </row>
    <row r="17" spans="1:16" ht="45.6" x14ac:dyDescent="0.4">
      <c r="A17" s="24">
        <v>10</v>
      </c>
      <c r="B17" s="30" t="s">
        <v>99</v>
      </c>
      <c r="C17" s="50">
        <v>0</v>
      </c>
      <c r="D17" s="47">
        <v>0</v>
      </c>
      <c r="E17" s="47">
        <v>0</v>
      </c>
      <c r="F17" s="50">
        <v>5451360756.1599998</v>
      </c>
      <c r="G17" s="26">
        <f t="shared" si="0"/>
        <v>5451360756.1599998</v>
      </c>
      <c r="H17" s="27"/>
      <c r="I17" s="27"/>
      <c r="J17" s="27"/>
      <c r="K17" s="27"/>
      <c r="L17" s="27"/>
    </row>
    <row r="18" spans="1:16" ht="22.8" x14ac:dyDescent="0.4">
      <c r="A18" s="24">
        <v>11</v>
      </c>
      <c r="B18" s="30" t="s">
        <v>98</v>
      </c>
      <c r="C18" s="50">
        <v>3268087501.0300002</v>
      </c>
      <c r="D18" s="26">
        <v>0</v>
      </c>
      <c r="E18" s="26">
        <v>0</v>
      </c>
      <c r="F18" s="26">
        <v>0</v>
      </c>
      <c r="G18" s="26">
        <f t="shared" si="0"/>
        <v>3268087501.0300002</v>
      </c>
      <c r="H18" s="27"/>
      <c r="I18" s="27"/>
      <c r="J18" s="27"/>
      <c r="K18" s="27"/>
      <c r="L18" s="27"/>
    </row>
    <row r="19" spans="1:16" ht="45.6" x14ac:dyDescent="0.4">
      <c r="A19" s="24">
        <v>12</v>
      </c>
      <c r="B19" s="30" t="s">
        <v>205</v>
      </c>
      <c r="C19" s="50">
        <v>23920441326.360001</v>
      </c>
      <c r="D19" s="26"/>
      <c r="E19" s="26"/>
      <c r="F19" s="26"/>
      <c r="G19" s="26">
        <f t="shared" si="0"/>
        <v>23920441326.360001</v>
      </c>
      <c r="H19" s="27"/>
      <c r="I19" s="27"/>
      <c r="J19" s="27"/>
      <c r="K19" s="27"/>
      <c r="L19" s="27"/>
    </row>
    <row r="20" spans="1:16" ht="68.400000000000006" x14ac:dyDescent="0.4">
      <c r="A20" s="24">
        <v>13</v>
      </c>
      <c r="B20" s="30" t="s">
        <v>206</v>
      </c>
      <c r="C20" s="50">
        <v>17797280476.330002</v>
      </c>
      <c r="D20" s="26"/>
      <c r="E20" s="26"/>
      <c r="F20" s="26"/>
      <c r="G20" s="26">
        <f t="shared" si="0"/>
        <v>17797280476.330002</v>
      </c>
      <c r="H20" s="27"/>
      <c r="I20" s="27"/>
      <c r="J20" s="27"/>
      <c r="K20" s="27"/>
      <c r="L20" s="27"/>
    </row>
    <row r="21" spans="1:16" ht="45.6" x14ac:dyDescent="0.4">
      <c r="A21" s="24">
        <v>14</v>
      </c>
      <c r="B21" s="30" t="s">
        <v>207</v>
      </c>
      <c r="C21" s="50">
        <v>154000000000</v>
      </c>
      <c r="D21" s="26"/>
      <c r="E21" s="26"/>
      <c r="F21" s="26"/>
      <c r="G21" s="26">
        <f t="shared" si="0"/>
        <v>154000000000</v>
      </c>
      <c r="H21" s="27"/>
      <c r="I21" s="27"/>
      <c r="J21" s="27"/>
      <c r="K21" s="27"/>
      <c r="L21" s="27"/>
    </row>
    <row r="22" spans="1:16" ht="22.8" x14ac:dyDescent="0.4">
      <c r="A22" s="24"/>
      <c r="B22" s="29" t="s">
        <v>16</v>
      </c>
      <c r="C22" s="26">
        <f>SUM(C8:C21)</f>
        <v>620686536585.85938</v>
      </c>
      <c r="D22" s="26">
        <f t="shared" ref="D22:F22" si="1">SUM(D8:D20)</f>
        <v>30000000000</v>
      </c>
      <c r="E22" s="26">
        <f t="shared" si="1"/>
        <v>2930963618.4923</v>
      </c>
      <c r="F22" s="26">
        <f t="shared" si="1"/>
        <v>181712025205.20999</v>
      </c>
      <c r="G22" s="26">
        <f>SUM(G8:G21)</f>
        <v>835329525409.56177</v>
      </c>
      <c r="H22" s="27"/>
      <c r="I22" s="27"/>
      <c r="J22" s="27"/>
      <c r="K22" s="27"/>
      <c r="L22" s="27"/>
    </row>
    <row r="23" spans="1:16" ht="22.8" x14ac:dyDescent="0.4">
      <c r="A23" s="11"/>
      <c r="B23" s="31" t="s">
        <v>35</v>
      </c>
      <c r="C23" s="32"/>
      <c r="D23" s="32"/>
      <c r="E23" s="32"/>
      <c r="F23" s="32"/>
      <c r="G23" s="32"/>
      <c r="H23" s="32"/>
      <c r="I23" s="28"/>
      <c r="J23" s="28"/>
    </row>
    <row r="24" spans="1:16" ht="22.8" x14ac:dyDescent="0.4">
      <c r="A24" s="11"/>
      <c r="B24" s="11"/>
      <c r="C24" s="32"/>
      <c r="D24" s="33"/>
      <c r="E24" s="33"/>
      <c r="F24" s="33" t="s">
        <v>22</v>
      </c>
      <c r="G24" s="33"/>
      <c r="H24" s="32"/>
      <c r="I24" s="32"/>
      <c r="J24" s="32"/>
    </row>
    <row r="25" spans="1:16" ht="22.8" x14ac:dyDescent="0.4">
      <c r="A25" s="118" t="s">
        <v>103</v>
      </c>
      <c r="B25" s="118"/>
      <c r="C25" s="118"/>
      <c r="D25" s="118"/>
      <c r="E25" s="118"/>
      <c r="F25" s="118"/>
      <c r="G25" s="118"/>
      <c r="H25" s="118"/>
      <c r="I25" s="118"/>
      <c r="J25" s="13"/>
    </row>
    <row r="26" spans="1:16" ht="16.5" customHeight="1" x14ac:dyDescent="0.4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6" ht="30" customHeight="1" x14ac:dyDescent="0.4">
      <c r="A27" s="20">
        <v>0</v>
      </c>
      <c r="B27" s="20">
        <v>1</v>
      </c>
      <c r="C27" s="20">
        <v>2</v>
      </c>
      <c r="D27" s="20">
        <v>3</v>
      </c>
      <c r="E27" s="20" t="s">
        <v>211</v>
      </c>
      <c r="F27" s="18">
        <v>5</v>
      </c>
      <c r="G27" s="20">
        <v>6</v>
      </c>
      <c r="H27" s="20">
        <v>7</v>
      </c>
      <c r="I27" s="20" t="s">
        <v>212</v>
      </c>
      <c r="J27" s="11"/>
      <c r="K27" s="11"/>
      <c r="L27" s="11"/>
      <c r="M27" s="11"/>
      <c r="N27" s="11"/>
      <c r="O27" s="11"/>
      <c r="P27" s="11"/>
    </row>
    <row r="28" spans="1:16" ht="112.2" customHeight="1" x14ac:dyDescent="0.4">
      <c r="A28" s="34" t="s">
        <v>0</v>
      </c>
      <c r="B28" s="34" t="s">
        <v>20</v>
      </c>
      <c r="C28" s="35" t="s">
        <v>7</v>
      </c>
      <c r="D28" s="34" t="s">
        <v>104</v>
      </c>
      <c r="E28" s="34" t="s">
        <v>13</v>
      </c>
      <c r="F28" s="19" t="s">
        <v>115</v>
      </c>
      <c r="G28" s="19" t="s">
        <v>102</v>
      </c>
      <c r="H28" s="34" t="s">
        <v>26</v>
      </c>
      <c r="I28" s="34" t="s">
        <v>14</v>
      </c>
      <c r="J28" s="54"/>
    </row>
    <row r="29" spans="1:16" ht="30" customHeight="1" x14ac:dyDescent="0.4">
      <c r="A29" s="24"/>
      <c r="B29" s="24"/>
      <c r="C29" s="58" t="s">
        <v>105</v>
      </c>
      <c r="D29" s="58" t="s">
        <v>105</v>
      </c>
      <c r="E29" s="58" t="s">
        <v>105</v>
      </c>
      <c r="F29" s="58" t="s">
        <v>105</v>
      </c>
      <c r="G29" s="58" t="s">
        <v>105</v>
      </c>
      <c r="H29" s="58" t="s">
        <v>105</v>
      </c>
      <c r="I29" s="59" t="s">
        <v>105</v>
      </c>
      <c r="J29" s="23"/>
    </row>
    <row r="30" spans="1:16" ht="30" customHeight="1" x14ac:dyDescent="0.4">
      <c r="A30" s="24">
        <v>1</v>
      </c>
      <c r="B30" s="36" t="s">
        <v>18</v>
      </c>
      <c r="C30" s="37">
        <v>170656928123.81311</v>
      </c>
      <c r="D30" s="37">
        <v>88438755877.949997</v>
      </c>
      <c r="E30" s="37">
        <f>C30-D30</f>
        <v>82218172245.863113</v>
      </c>
      <c r="F30" s="37">
        <v>14550000000</v>
      </c>
      <c r="G30" s="37">
        <v>1318270348.0866001</v>
      </c>
      <c r="H30" s="37">
        <v>23658905681.720001</v>
      </c>
      <c r="I30" s="38">
        <f>E30+F30+G30+H30</f>
        <v>121745348275.66971</v>
      </c>
      <c r="J30" s="55"/>
      <c r="K30" s="55"/>
      <c r="L30" s="55"/>
      <c r="M30" s="55"/>
      <c r="N30" s="55"/>
    </row>
    <row r="31" spans="1:16" ht="52.5" customHeight="1" x14ac:dyDescent="0.4">
      <c r="A31" s="24">
        <v>2</v>
      </c>
      <c r="B31" s="52" t="s">
        <v>19</v>
      </c>
      <c r="C31" s="37">
        <v>3518699548.9446001</v>
      </c>
      <c r="D31" s="37">
        <v>0</v>
      </c>
      <c r="E31" s="37">
        <f t="shared" ref="E31:E34" si="2">C31-D31</f>
        <v>3518699548.9446001</v>
      </c>
      <c r="F31" s="37">
        <v>300000000</v>
      </c>
      <c r="G31" s="37">
        <v>27180831.919300001</v>
      </c>
      <c r="H31" s="37">
        <v>0</v>
      </c>
      <c r="I31" s="38">
        <f t="shared" ref="I31:I34" si="3">E31+F31+G31+H31</f>
        <v>3845880380.8639002</v>
      </c>
      <c r="J31" s="55"/>
      <c r="K31" s="55"/>
      <c r="L31" s="55"/>
      <c r="M31" s="55"/>
      <c r="N31" s="55"/>
    </row>
    <row r="32" spans="1:16" ht="22.8" x14ac:dyDescent="0.4">
      <c r="A32" s="24">
        <v>3</v>
      </c>
      <c r="B32" s="36" t="s">
        <v>4</v>
      </c>
      <c r="C32" s="37">
        <v>1759349774.4723001</v>
      </c>
      <c r="D32" s="37">
        <v>0</v>
      </c>
      <c r="E32" s="37">
        <f t="shared" si="2"/>
        <v>1759349774.4723001</v>
      </c>
      <c r="F32" s="37">
        <v>150000000</v>
      </c>
      <c r="G32" s="37">
        <v>13590415.9597</v>
      </c>
      <c r="H32" s="37">
        <v>0</v>
      </c>
      <c r="I32" s="38">
        <f t="shared" si="3"/>
        <v>1922940190.4320002</v>
      </c>
      <c r="J32" s="55"/>
      <c r="K32" s="55"/>
      <c r="L32" s="55"/>
      <c r="M32" s="55"/>
      <c r="N32" s="55"/>
    </row>
    <row r="33" spans="1:14" ht="45.6" x14ac:dyDescent="0.4">
      <c r="A33" s="24">
        <v>4</v>
      </c>
      <c r="B33" s="30" t="s">
        <v>5</v>
      </c>
      <c r="C33" s="37">
        <v>5911415242.2269001</v>
      </c>
      <c r="D33" s="37">
        <v>0</v>
      </c>
      <c r="E33" s="37">
        <f t="shared" si="2"/>
        <v>5911415242.2269001</v>
      </c>
      <c r="F33" s="37">
        <v>504000000</v>
      </c>
      <c r="G33" s="37">
        <v>45663797.624399997</v>
      </c>
      <c r="H33" s="37">
        <v>0</v>
      </c>
      <c r="I33" s="38">
        <f t="shared" si="3"/>
        <v>6461079039.8513002</v>
      </c>
      <c r="J33" s="55"/>
      <c r="K33" s="55"/>
      <c r="L33" s="55"/>
      <c r="M33" s="55"/>
      <c r="N33" s="55"/>
    </row>
    <row r="34" spans="1:14" ht="23.4" thickBot="1" x14ac:dyDescent="0.45">
      <c r="A34" s="24">
        <v>5</v>
      </c>
      <c r="B34" s="24" t="s">
        <v>6</v>
      </c>
      <c r="C34" s="37">
        <v>3518699548.9446001</v>
      </c>
      <c r="D34" s="37">
        <v>49928018.600000001</v>
      </c>
      <c r="E34" s="37">
        <f t="shared" si="2"/>
        <v>3468771530.3446002</v>
      </c>
      <c r="F34" s="37">
        <v>300000000</v>
      </c>
      <c r="G34" s="37">
        <v>27180831.919300001</v>
      </c>
      <c r="H34" s="37">
        <v>1689921834.4100001</v>
      </c>
      <c r="I34" s="38">
        <f t="shared" si="3"/>
        <v>5485874196.6739006</v>
      </c>
      <c r="J34" s="55"/>
      <c r="K34" s="55"/>
      <c r="L34" s="55"/>
      <c r="M34" s="55"/>
      <c r="N34" s="55"/>
    </row>
    <row r="35" spans="1:14" ht="24" thickTop="1" thickBot="1" x14ac:dyDescent="0.45">
      <c r="A35" s="24"/>
      <c r="B35" s="40" t="s">
        <v>10</v>
      </c>
      <c r="C35" s="41">
        <f>SUM(C30:C34)</f>
        <v>185365092238.40152</v>
      </c>
      <c r="D35" s="41">
        <f>SUM(D30:D34)</f>
        <v>88488683896.550003</v>
      </c>
      <c r="E35" s="41">
        <f t="shared" ref="E35" si="4">SUM(E30:E34)</f>
        <v>96876408341.851517</v>
      </c>
      <c r="F35" s="41">
        <f t="shared" ref="F35" si="5">SUM(F30:F34)</f>
        <v>15804000000</v>
      </c>
      <c r="G35" s="41">
        <f>SUM(G30:G34)</f>
        <v>1431886225.5093002</v>
      </c>
      <c r="H35" s="41">
        <f>SUM(H30:H34)</f>
        <v>25348827516.130001</v>
      </c>
      <c r="I35" s="41">
        <f>SUM(I30:I34)</f>
        <v>139461122083.49081</v>
      </c>
      <c r="J35" s="55"/>
      <c r="K35" s="55"/>
      <c r="L35" s="55"/>
      <c r="M35" s="55"/>
      <c r="N35" s="55"/>
    </row>
    <row r="36" spans="1:14" ht="23.4" thickTop="1" x14ac:dyDescent="0.4">
      <c r="A36" s="11"/>
      <c r="B36" s="11"/>
      <c r="C36" s="11"/>
      <c r="D36" s="39"/>
      <c r="E36" s="39"/>
      <c r="F36" s="53"/>
      <c r="G36" s="53"/>
      <c r="H36" s="53"/>
      <c r="I36" s="42"/>
      <c r="J36" s="39"/>
    </row>
    <row r="37" spans="1:14" ht="22.8" x14ac:dyDescent="0.4">
      <c r="A37" s="10" t="s">
        <v>92</v>
      </c>
      <c r="B37" s="11"/>
      <c r="C37" s="11"/>
      <c r="D37" s="11"/>
      <c r="E37" s="39"/>
      <c r="F37" s="39"/>
      <c r="G37" s="11"/>
      <c r="H37" s="11"/>
      <c r="I37" s="42"/>
      <c r="J37" s="39"/>
    </row>
    <row r="38" spans="1:14" ht="96" customHeight="1" x14ac:dyDescent="0.4">
      <c r="A38" s="113" t="s">
        <v>93</v>
      </c>
      <c r="B38" s="113"/>
      <c r="C38" s="113"/>
      <c r="D38" s="113"/>
      <c r="E38" s="113"/>
      <c r="F38" s="113"/>
      <c r="G38" s="113"/>
      <c r="H38" s="113"/>
      <c r="I38" s="113"/>
      <c r="J38" s="113"/>
    </row>
    <row r="39" spans="1:14" ht="22.8" hidden="1" x14ac:dyDescent="0.4">
      <c r="A39" s="11"/>
      <c r="B39" s="43"/>
      <c r="C39" s="43"/>
      <c r="D39" s="43"/>
      <c r="E39" s="43"/>
      <c r="F39" s="43"/>
      <c r="G39" s="43"/>
      <c r="H39" s="11"/>
      <c r="I39" s="11"/>
      <c r="J39" s="11"/>
    </row>
    <row r="40" spans="1:14" ht="22.8" x14ac:dyDescent="0.4">
      <c r="A40" s="11"/>
      <c r="B40" s="43"/>
      <c r="C40" s="43"/>
      <c r="D40" s="43"/>
      <c r="E40" s="43"/>
      <c r="F40" s="43"/>
      <c r="G40" s="43"/>
      <c r="H40" s="11"/>
      <c r="I40" s="11"/>
      <c r="J40" s="11"/>
    </row>
    <row r="41" spans="1:14" ht="42.75" customHeight="1" x14ac:dyDescent="0.45">
      <c r="A41" s="11"/>
      <c r="B41" s="11"/>
      <c r="C41" s="114" t="s">
        <v>30</v>
      </c>
      <c r="D41" s="114"/>
      <c r="E41" s="114"/>
      <c r="F41" s="114"/>
      <c r="G41" s="114"/>
      <c r="H41" s="114"/>
      <c r="I41" s="11"/>
      <c r="J41" s="11"/>
    </row>
    <row r="42" spans="1:14" ht="24.6" x14ac:dyDescent="0.4">
      <c r="C42" s="115" t="s">
        <v>213</v>
      </c>
      <c r="D42" s="115"/>
      <c r="E42" s="115"/>
      <c r="F42" s="115"/>
      <c r="G42" s="115"/>
      <c r="H42" s="115"/>
    </row>
    <row r="43" spans="1:14" ht="24.6" x14ac:dyDescent="0.4">
      <c r="C43" s="112" t="s">
        <v>214</v>
      </c>
      <c r="D43" s="112"/>
      <c r="E43" s="112"/>
      <c r="F43" s="112"/>
      <c r="G43" s="112"/>
      <c r="H43" s="112"/>
    </row>
    <row r="44" spans="1:14" ht="24.6" x14ac:dyDescent="0.4">
      <c r="C44" s="112" t="s">
        <v>32</v>
      </c>
      <c r="D44" s="112"/>
      <c r="E44" s="112"/>
      <c r="F44" s="112"/>
      <c r="G44" s="112"/>
      <c r="H44" s="112"/>
    </row>
    <row r="45" spans="1:14" ht="35.25" customHeight="1" x14ac:dyDescent="0.25"/>
  </sheetData>
  <mergeCells count="10">
    <mergeCell ref="A1:H1"/>
    <mergeCell ref="C44:H44"/>
    <mergeCell ref="A38:J38"/>
    <mergeCell ref="C41:H41"/>
    <mergeCell ref="C42:H42"/>
    <mergeCell ref="C43:H43"/>
    <mergeCell ref="A3:H3"/>
    <mergeCell ref="A2:G2"/>
    <mergeCell ref="A4:G4"/>
    <mergeCell ref="A25:I25"/>
  </mergeCells>
  <phoneticPr fontId="2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pageSetUpPr fitToPage="1"/>
  </sheetPr>
  <dimension ref="A1:S55"/>
  <sheetViews>
    <sheetView zoomScale="80" zoomScaleNormal="80" workbookViewId="0">
      <pane xSplit="3" ySplit="10" topLeftCell="G11" activePane="bottomRight" state="frozen"/>
      <selection pane="topRight" activeCell="D1" sqref="D1"/>
      <selection pane="bottomLeft" activeCell="A10" sqref="A10"/>
      <selection pane="bottomRight" activeCell="M39" sqref="M39"/>
    </sheetView>
  </sheetViews>
  <sheetFormatPr defaultRowHeight="13.2" x14ac:dyDescent="0.25"/>
  <cols>
    <col min="1" max="1" width="4" bestFit="1" customWidth="1"/>
    <col min="2" max="2" width="22.44140625" customWidth="1"/>
    <col min="3" max="3" width="7.44140625" customWidth="1"/>
    <col min="4" max="4" width="20.6640625" customWidth="1"/>
    <col min="5" max="5" width="19" customWidth="1"/>
    <col min="6" max="6" width="19.44140625" customWidth="1"/>
    <col min="7" max="7" width="17.88671875" bestFit="1" customWidth="1"/>
    <col min="8" max="8" width="18.5546875" customWidth="1"/>
    <col min="9" max="9" width="19.44140625" customWidth="1"/>
    <col min="10" max="11" width="19.5546875" customWidth="1"/>
    <col min="12" max="13" width="21" customWidth="1"/>
    <col min="14" max="14" width="22" bestFit="1" customWidth="1"/>
    <col min="15" max="16" width="22" customWidth="1"/>
    <col min="17" max="17" width="24.109375" bestFit="1" customWidth="1"/>
    <col min="18" max="18" width="20.109375" bestFit="1" customWidth="1"/>
    <col min="19" max="19" width="4.33203125" bestFit="1" customWidth="1"/>
  </cols>
  <sheetData>
    <row r="1" spans="1:19" ht="20.399999999999999" x14ac:dyDescent="0.35">
      <c r="A1" s="119" t="s">
        <v>106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19" ht="24.6" x14ac:dyDescent="0.4">
      <c r="A2" s="111" t="s">
        <v>31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4.6" hidden="1" x14ac:dyDescent="0.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97"/>
      <c r="N3" s="56"/>
      <c r="O3" s="56"/>
      <c r="P3" s="56"/>
      <c r="Q3" s="56"/>
      <c r="R3" s="56"/>
      <c r="S3" s="56"/>
    </row>
    <row r="4" spans="1:19" ht="18" customHeight="1" x14ac:dyDescent="0.35">
      <c r="A4" s="60"/>
      <c r="B4" s="60"/>
      <c r="C4" s="60"/>
      <c r="D4" s="60"/>
      <c r="E4" s="60"/>
      <c r="F4" s="60"/>
      <c r="G4" s="60"/>
      <c r="H4" s="61" t="s">
        <v>24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 ht="22.8" x14ac:dyDescent="0.4">
      <c r="A5" s="122" t="s">
        <v>109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60"/>
    </row>
    <row r="6" spans="1:19" ht="20.399999999999999" x14ac:dyDescent="0.35">
      <c r="A6" s="62"/>
      <c r="B6" s="62"/>
      <c r="C6" s="62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62"/>
    </row>
    <row r="7" spans="1:19" x14ac:dyDescent="0.25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 t="s">
        <v>8</v>
      </c>
      <c r="G7" s="63">
        <v>7</v>
      </c>
      <c r="H7" s="63">
        <v>8</v>
      </c>
      <c r="I7" s="63">
        <v>9</v>
      </c>
      <c r="J7" s="63" t="s">
        <v>9</v>
      </c>
      <c r="K7" s="63">
        <v>11</v>
      </c>
      <c r="L7" s="63">
        <v>12</v>
      </c>
      <c r="M7" s="98">
        <v>13</v>
      </c>
      <c r="N7" s="98">
        <v>14</v>
      </c>
      <c r="O7" s="98">
        <v>15</v>
      </c>
      <c r="P7" s="63">
        <v>16</v>
      </c>
      <c r="Q7" s="63" t="s">
        <v>202</v>
      </c>
      <c r="R7" s="63" t="s">
        <v>203</v>
      </c>
      <c r="S7" s="64"/>
    </row>
    <row r="8" spans="1:19" ht="12.75" customHeight="1" x14ac:dyDescent="0.25">
      <c r="A8" s="120" t="s">
        <v>0</v>
      </c>
      <c r="B8" s="120" t="s">
        <v>20</v>
      </c>
      <c r="C8" s="120" t="s">
        <v>1</v>
      </c>
      <c r="D8" s="120" t="s">
        <v>208</v>
      </c>
      <c r="E8" s="120" t="s">
        <v>33</v>
      </c>
      <c r="F8" s="120" t="s">
        <v>2</v>
      </c>
      <c r="G8" s="126" t="s">
        <v>25</v>
      </c>
      <c r="H8" s="127"/>
      <c r="I8" s="128"/>
      <c r="J8" s="120" t="s">
        <v>13</v>
      </c>
      <c r="K8" s="120" t="s">
        <v>120</v>
      </c>
      <c r="L8" s="120" t="s">
        <v>112</v>
      </c>
      <c r="M8" s="120" t="s">
        <v>204</v>
      </c>
      <c r="N8" s="120" t="s">
        <v>73</v>
      </c>
      <c r="O8" s="120" t="s">
        <v>113</v>
      </c>
      <c r="P8" s="120" t="s">
        <v>114</v>
      </c>
      <c r="Q8" s="120" t="s">
        <v>27</v>
      </c>
      <c r="R8" s="120" t="s">
        <v>14</v>
      </c>
      <c r="S8" s="120" t="s">
        <v>0</v>
      </c>
    </row>
    <row r="9" spans="1:19" ht="44.25" customHeight="1" x14ac:dyDescent="0.25">
      <c r="A9" s="121"/>
      <c r="B9" s="121"/>
      <c r="C9" s="121"/>
      <c r="D9" s="121"/>
      <c r="E9" s="121"/>
      <c r="F9" s="121"/>
      <c r="G9" s="65" t="s">
        <v>3</v>
      </c>
      <c r="H9" s="65" t="s">
        <v>12</v>
      </c>
      <c r="I9" s="65" t="s">
        <v>91</v>
      </c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19" ht="20.399999999999999" x14ac:dyDescent="0.35">
      <c r="A10" s="64"/>
      <c r="B10" s="64"/>
      <c r="C10" s="64"/>
      <c r="D10" s="58" t="s">
        <v>105</v>
      </c>
      <c r="E10" s="58" t="s">
        <v>105</v>
      </c>
      <c r="F10" s="58" t="s">
        <v>105</v>
      </c>
      <c r="G10" s="58" t="s">
        <v>105</v>
      </c>
      <c r="H10" s="58" t="s">
        <v>105</v>
      </c>
      <c r="I10" s="58" t="s">
        <v>105</v>
      </c>
      <c r="J10" s="58" t="s">
        <v>105</v>
      </c>
      <c r="K10" s="58" t="s">
        <v>105</v>
      </c>
      <c r="L10" s="58" t="s">
        <v>105</v>
      </c>
      <c r="M10" s="58" t="s">
        <v>105</v>
      </c>
      <c r="N10" s="58" t="s">
        <v>105</v>
      </c>
      <c r="O10" s="58" t="s">
        <v>105</v>
      </c>
      <c r="P10" s="58" t="s">
        <v>105</v>
      </c>
      <c r="Q10" s="58" t="s">
        <v>105</v>
      </c>
      <c r="R10" s="58" t="s">
        <v>105</v>
      </c>
      <c r="S10" s="64"/>
    </row>
    <row r="11" spans="1:19" ht="18" customHeight="1" x14ac:dyDescent="0.25">
      <c r="A11" s="64">
        <v>1</v>
      </c>
      <c r="B11" s="66" t="s">
        <v>37</v>
      </c>
      <c r="C11" s="67">
        <v>17</v>
      </c>
      <c r="D11" s="68">
        <v>2259099118.3600001</v>
      </c>
      <c r="E11" s="68">
        <v>435427949.80000001</v>
      </c>
      <c r="F11" s="69">
        <f>D11+E11</f>
        <v>2694527068.1600003</v>
      </c>
      <c r="G11" s="70">
        <v>67572423.200000003</v>
      </c>
      <c r="H11" s="70">
        <v>0</v>
      </c>
      <c r="I11" s="68">
        <v>391057008.87</v>
      </c>
      <c r="J11" s="71">
        <f>F11-G11-H11-I11</f>
        <v>2235897636.0900006</v>
      </c>
      <c r="K11" s="71">
        <v>192608015</v>
      </c>
      <c r="L11" s="99">
        <f>17450820.27+3102446.32</f>
        <v>20553266.59</v>
      </c>
      <c r="M11" s="99">
        <v>68376681.790000007</v>
      </c>
      <c r="N11" s="69">
        <v>1746910894.4400001</v>
      </c>
      <c r="O11" s="72">
        <v>0</v>
      </c>
      <c r="P11" s="72">
        <f>N11-O11</f>
        <v>1746910894.4400001</v>
      </c>
      <c r="Q11" s="72">
        <f>F11+K11+L11+M11+N11</f>
        <v>4722975925.9800005</v>
      </c>
      <c r="R11" s="73">
        <f>J11+K11+L11+M11+P11</f>
        <v>4264346493.9100008</v>
      </c>
      <c r="S11" s="64">
        <v>1</v>
      </c>
    </row>
    <row r="12" spans="1:19" ht="18" customHeight="1" x14ac:dyDescent="0.25">
      <c r="A12" s="64">
        <v>2</v>
      </c>
      <c r="B12" s="66" t="s">
        <v>38</v>
      </c>
      <c r="C12" s="74">
        <v>21</v>
      </c>
      <c r="D12" s="68">
        <v>2403292972.8299999</v>
      </c>
      <c r="E12" s="68">
        <v>0</v>
      </c>
      <c r="F12" s="69">
        <f t="shared" ref="F12:F47" si="0">D12+E12</f>
        <v>2403292972.8299999</v>
      </c>
      <c r="G12" s="70">
        <v>82177449.780000001</v>
      </c>
      <c r="H12" s="70">
        <v>0</v>
      </c>
      <c r="I12" s="68">
        <v>165980586.19</v>
      </c>
      <c r="J12" s="71">
        <f t="shared" ref="J12:J47" si="1">F12-G12-H12-I12</f>
        <v>2155134936.8599997</v>
      </c>
      <c r="K12" s="71">
        <v>204901805.86000001</v>
      </c>
      <c r="L12" s="99">
        <v>18564671.82</v>
      </c>
      <c r="M12" s="99">
        <v>72741030.929999992</v>
      </c>
      <c r="N12" s="69">
        <v>1885539527.1099999</v>
      </c>
      <c r="O12" s="72">
        <v>0</v>
      </c>
      <c r="P12" s="72">
        <f t="shared" ref="P12:P46" si="2">N12-O12</f>
        <v>1885539527.1099999</v>
      </c>
      <c r="Q12" s="72">
        <f t="shared" ref="Q12:Q48" si="3">F12+K12+L12+M12+N12</f>
        <v>4585040008.5500002</v>
      </c>
      <c r="R12" s="73">
        <f t="shared" ref="R12:R48" si="4">J12+K12+L12+M12+P12</f>
        <v>4336881972.5799999</v>
      </c>
      <c r="S12" s="64">
        <v>2</v>
      </c>
    </row>
    <row r="13" spans="1:19" ht="18" customHeight="1" x14ac:dyDescent="0.25">
      <c r="A13" s="64">
        <v>3</v>
      </c>
      <c r="B13" s="66" t="s">
        <v>39</v>
      </c>
      <c r="C13" s="74">
        <v>31</v>
      </c>
      <c r="D13" s="68">
        <v>2425626585.5599999</v>
      </c>
      <c r="E13" s="68">
        <v>7304429788.9399996</v>
      </c>
      <c r="F13" s="69">
        <f t="shared" si="0"/>
        <v>9730056374.5</v>
      </c>
      <c r="G13" s="70">
        <v>44801992.189999998</v>
      </c>
      <c r="H13" s="70">
        <v>0</v>
      </c>
      <c r="I13" s="68">
        <v>888918657.02999997</v>
      </c>
      <c r="J13" s="71">
        <f t="shared" si="1"/>
        <v>8796335725.2799988</v>
      </c>
      <c r="K13" s="71">
        <v>206805942.24000001</v>
      </c>
      <c r="L13" s="99">
        <f>18737191.85+45642408.54</f>
        <v>64379600.390000001</v>
      </c>
      <c r="M13" s="99">
        <v>73417007.620000005</v>
      </c>
      <c r="N13" s="69">
        <v>2131673819.6500001</v>
      </c>
      <c r="O13" s="72">
        <v>0</v>
      </c>
      <c r="P13" s="72">
        <f t="shared" si="2"/>
        <v>2131673819.6500001</v>
      </c>
      <c r="Q13" s="72">
        <f t="shared" si="3"/>
        <v>12206332744.4</v>
      </c>
      <c r="R13" s="73">
        <f t="shared" si="4"/>
        <v>11272612095.179998</v>
      </c>
      <c r="S13" s="64">
        <v>3</v>
      </c>
    </row>
    <row r="14" spans="1:19" ht="18" customHeight="1" x14ac:dyDescent="0.25">
      <c r="A14" s="64">
        <v>4</v>
      </c>
      <c r="B14" s="66" t="s">
        <v>40</v>
      </c>
      <c r="C14" s="74">
        <v>21</v>
      </c>
      <c r="D14" s="68">
        <v>2398790686.3799996</v>
      </c>
      <c r="E14" s="68">
        <v>0</v>
      </c>
      <c r="F14" s="69">
        <f t="shared" si="0"/>
        <v>2398790686.3799996</v>
      </c>
      <c r="G14" s="70">
        <v>49206305.829999998</v>
      </c>
      <c r="H14" s="70">
        <v>0</v>
      </c>
      <c r="I14" s="68">
        <v>107844895.25000001</v>
      </c>
      <c r="J14" s="71">
        <f t="shared" si="1"/>
        <v>2241739485.2999997</v>
      </c>
      <c r="K14" s="71">
        <v>204517946.44999999</v>
      </c>
      <c r="L14" s="99">
        <v>18529893.09</v>
      </c>
      <c r="M14" s="99">
        <v>72604759.180000007</v>
      </c>
      <c r="N14" s="69">
        <v>1998992784.1900001</v>
      </c>
      <c r="O14" s="72">
        <v>0</v>
      </c>
      <c r="P14" s="72">
        <f t="shared" si="2"/>
        <v>1998992784.1900001</v>
      </c>
      <c r="Q14" s="72">
        <f t="shared" si="3"/>
        <v>4693436069.289999</v>
      </c>
      <c r="R14" s="73">
        <f t="shared" si="4"/>
        <v>4536384868.2099991</v>
      </c>
      <c r="S14" s="64">
        <v>4</v>
      </c>
    </row>
    <row r="15" spans="1:19" ht="18" customHeight="1" x14ac:dyDescent="0.25">
      <c r="A15" s="64">
        <v>5</v>
      </c>
      <c r="B15" s="66" t="s">
        <v>41</v>
      </c>
      <c r="C15" s="74">
        <v>20</v>
      </c>
      <c r="D15" s="68">
        <v>2885825564.6300001</v>
      </c>
      <c r="E15" s="68">
        <v>0</v>
      </c>
      <c r="F15" s="69">
        <f t="shared" si="0"/>
        <v>2885825564.6300001</v>
      </c>
      <c r="G15" s="70">
        <v>136554732.87</v>
      </c>
      <c r="H15" s="70">
        <v>201255000</v>
      </c>
      <c r="I15" s="68">
        <v>322850569.16000003</v>
      </c>
      <c r="J15" s="71">
        <f t="shared" si="1"/>
        <v>2225165262.6000004</v>
      </c>
      <c r="K15" s="71">
        <v>246041941.72999999</v>
      </c>
      <c r="L15" s="99">
        <v>22292082.210000001</v>
      </c>
      <c r="M15" s="99">
        <v>87345957.840000004</v>
      </c>
      <c r="N15" s="69">
        <v>2080854653.27</v>
      </c>
      <c r="O15" s="72">
        <v>0</v>
      </c>
      <c r="P15" s="72">
        <f t="shared" si="2"/>
        <v>2080854653.27</v>
      </c>
      <c r="Q15" s="72">
        <f t="shared" si="3"/>
        <v>5322360199.6800003</v>
      </c>
      <c r="R15" s="73">
        <f t="shared" si="4"/>
        <v>4661699897.6500006</v>
      </c>
      <c r="S15" s="64">
        <v>5</v>
      </c>
    </row>
    <row r="16" spans="1:19" ht="18" customHeight="1" x14ac:dyDescent="0.25">
      <c r="A16" s="64">
        <v>6</v>
      </c>
      <c r="B16" s="66" t="s">
        <v>42</v>
      </c>
      <c r="C16" s="74">
        <v>8</v>
      </c>
      <c r="D16" s="68">
        <v>2134690673.1400001</v>
      </c>
      <c r="E16" s="68">
        <v>8180351214.9899998</v>
      </c>
      <c r="F16" s="69">
        <f t="shared" si="0"/>
        <v>10315041888.129999</v>
      </c>
      <c r="G16" s="70">
        <v>35910172.130000003</v>
      </c>
      <c r="H16" s="70">
        <v>0</v>
      </c>
      <c r="I16" s="68">
        <v>965701801.02999997</v>
      </c>
      <c r="J16" s="71">
        <f t="shared" si="1"/>
        <v>9313429914.9699993</v>
      </c>
      <c r="K16" s="71">
        <v>182001103.83000001</v>
      </c>
      <c r="L16" s="99">
        <f>16489804.71+35622149.44</f>
        <v>52111954.149999999</v>
      </c>
      <c r="M16" s="99">
        <v>64611182.270000003</v>
      </c>
      <c r="N16" s="69">
        <v>2133042473.0999999</v>
      </c>
      <c r="O16" s="72">
        <v>0</v>
      </c>
      <c r="P16" s="72">
        <f t="shared" si="2"/>
        <v>2133042473.0999999</v>
      </c>
      <c r="Q16" s="72">
        <f t="shared" si="3"/>
        <v>12746808601.48</v>
      </c>
      <c r="R16" s="73">
        <f t="shared" si="4"/>
        <v>11745196628.32</v>
      </c>
      <c r="S16" s="64">
        <v>6</v>
      </c>
    </row>
    <row r="17" spans="1:19" ht="18" customHeight="1" x14ac:dyDescent="0.25">
      <c r="A17" s="64">
        <v>7</v>
      </c>
      <c r="B17" s="66" t="s">
        <v>43</v>
      </c>
      <c r="C17" s="74">
        <v>23</v>
      </c>
      <c r="D17" s="68">
        <v>2705648018.2400002</v>
      </c>
      <c r="E17" s="68">
        <v>0</v>
      </c>
      <c r="F17" s="69">
        <f t="shared" si="0"/>
        <v>2705648018.2400002</v>
      </c>
      <c r="G17" s="70">
        <v>32909106.25</v>
      </c>
      <c r="H17" s="70">
        <v>103855987.23</v>
      </c>
      <c r="I17" s="68">
        <v>771249254.43999994</v>
      </c>
      <c r="J17" s="71">
        <f t="shared" si="1"/>
        <v>1797633670.3200002</v>
      </c>
      <c r="K17" s="71">
        <v>230680225.52000001</v>
      </c>
      <c r="L17" s="99">
        <v>20900268.120000001</v>
      </c>
      <c r="M17" s="99">
        <v>40946240.935000002</v>
      </c>
      <c r="N17" s="69">
        <v>1987062479.3699999</v>
      </c>
      <c r="O17" s="72">
        <v>0</v>
      </c>
      <c r="P17" s="72">
        <f t="shared" si="2"/>
        <v>1987062479.3699999</v>
      </c>
      <c r="Q17" s="72">
        <f t="shared" si="3"/>
        <v>4985237232.1849995</v>
      </c>
      <c r="R17" s="73">
        <f t="shared" si="4"/>
        <v>4077222884.2649999</v>
      </c>
      <c r="S17" s="64">
        <v>7</v>
      </c>
    </row>
    <row r="18" spans="1:19" ht="18" customHeight="1" x14ac:dyDescent="0.25">
      <c r="A18" s="64">
        <v>8</v>
      </c>
      <c r="B18" s="66" t="s">
        <v>44</v>
      </c>
      <c r="C18" s="74">
        <v>27</v>
      </c>
      <c r="D18" s="68">
        <v>2997470246.9299998</v>
      </c>
      <c r="E18" s="68">
        <v>0</v>
      </c>
      <c r="F18" s="69">
        <f t="shared" si="0"/>
        <v>2997470246.9299998</v>
      </c>
      <c r="G18" s="70">
        <v>24543400.530000001</v>
      </c>
      <c r="H18" s="70">
        <v>0</v>
      </c>
      <c r="I18" s="68">
        <v>60222144.929999992</v>
      </c>
      <c r="J18" s="71">
        <f t="shared" si="1"/>
        <v>2912704701.4699998</v>
      </c>
      <c r="K18" s="71">
        <v>255560630.16</v>
      </c>
      <c r="L18" s="99">
        <v>23154501.780000001</v>
      </c>
      <c r="M18" s="99">
        <v>90725133.569999993</v>
      </c>
      <c r="N18" s="69">
        <v>1958535781.23</v>
      </c>
      <c r="O18" s="72">
        <v>0</v>
      </c>
      <c r="P18" s="72">
        <f t="shared" si="2"/>
        <v>1958535781.23</v>
      </c>
      <c r="Q18" s="72">
        <f t="shared" si="3"/>
        <v>5325446293.6700001</v>
      </c>
      <c r="R18" s="73">
        <f t="shared" si="4"/>
        <v>5240680748.21</v>
      </c>
      <c r="S18" s="64">
        <v>8</v>
      </c>
    </row>
    <row r="19" spans="1:19" ht="18" customHeight="1" x14ac:dyDescent="0.25">
      <c r="A19" s="64">
        <v>9</v>
      </c>
      <c r="B19" s="66" t="s">
        <v>45</v>
      </c>
      <c r="C19" s="74">
        <v>18</v>
      </c>
      <c r="D19" s="68">
        <v>2426040255.23</v>
      </c>
      <c r="E19" s="68">
        <v>0</v>
      </c>
      <c r="F19" s="69">
        <f t="shared" si="0"/>
        <v>2426040255.23</v>
      </c>
      <c r="G19" s="70">
        <v>221816087.66999999</v>
      </c>
      <c r="H19" s="70">
        <v>633134951.91999996</v>
      </c>
      <c r="I19" s="68">
        <v>561110553.43999994</v>
      </c>
      <c r="J19" s="71">
        <f t="shared" si="1"/>
        <v>1009978662.1999999</v>
      </c>
      <c r="K19" s="71">
        <v>206841211.19999999</v>
      </c>
      <c r="L19" s="99">
        <v>18740387.32</v>
      </c>
      <c r="M19" s="99">
        <v>73429528.249999985</v>
      </c>
      <c r="N19" s="69">
        <v>1737105129.6400001</v>
      </c>
      <c r="O19" s="72">
        <v>0</v>
      </c>
      <c r="P19" s="72">
        <f t="shared" si="2"/>
        <v>1737105129.6400001</v>
      </c>
      <c r="Q19" s="72">
        <f t="shared" si="3"/>
        <v>4462156511.6400003</v>
      </c>
      <c r="R19" s="73">
        <f t="shared" si="4"/>
        <v>3046094918.6099997</v>
      </c>
      <c r="S19" s="64">
        <v>9</v>
      </c>
    </row>
    <row r="20" spans="1:19" ht="18" customHeight="1" x14ac:dyDescent="0.25">
      <c r="A20" s="64">
        <v>10</v>
      </c>
      <c r="B20" s="66" t="s">
        <v>46</v>
      </c>
      <c r="C20" s="74">
        <v>25</v>
      </c>
      <c r="D20" s="68">
        <v>2449623718.3700004</v>
      </c>
      <c r="E20" s="68">
        <v>12541817729.16</v>
      </c>
      <c r="F20" s="69">
        <f t="shared" si="0"/>
        <v>14991441447.530001</v>
      </c>
      <c r="G20" s="70">
        <v>26519863.5</v>
      </c>
      <c r="H20" s="70">
        <v>0</v>
      </c>
      <c r="I20" s="68">
        <v>991960976.16999996</v>
      </c>
      <c r="J20" s="71">
        <f t="shared" si="1"/>
        <v>13972960607.860001</v>
      </c>
      <c r="K20" s="71">
        <v>208851908.28999999</v>
      </c>
      <c r="L20" s="99">
        <f>18922562.05+72469242.23</f>
        <v>91391804.280000001</v>
      </c>
      <c r="M20" s="99">
        <v>74143334.459999993</v>
      </c>
      <c r="N20" s="69">
        <v>2035522377.6400001</v>
      </c>
      <c r="O20" s="72">
        <v>0</v>
      </c>
      <c r="P20" s="72">
        <f t="shared" si="2"/>
        <v>2035522377.6400001</v>
      </c>
      <c r="Q20" s="72">
        <f t="shared" si="3"/>
        <v>17401350872.200001</v>
      </c>
      <c r="R20" s="73">
        <f t="shared" si="4"/>
        <v>16382870032.530001</v>
      </c>
      <c r="S20" s="64">
        <v>10</v>
      </c>
    </row>
    <row r="21" spans="1:19" ht="18" customHeight="1" x14ac:dyDescent="0.25">
      <c r="A21" s="64">
        <v>11</v>
      </c>
      <c r="B21" s="66" t="s">
        <v>47</v>
      </c>
      <c r="C21" s="74">
        <v>13</v>
      </c>
      <c r="D21" s="68">
        <v>2158392314.29</v>
      </c>
      <c r="E21" s="68">
        <v>0</v>
      </c>
      <c r="F21" s="69">
        <f t="shared" si="0"/>
        <v>2158392314.29</v>
      </c>
      <c r="G21" s="70">
        <v>41682938.469999999</v>
      </c>
      <c r="H21" s="70">
        <v>0</v>
      </c>
      <c r="I21" s="68">
        <v>198373123.53</v>
      </c>
      <c r="J21" s="71">
        <f t="shared" si="1"/>
        <v>1918336252.29</v>
      </c>
      <c r="K21" s="71">
        <v>184021876.63</v>
      </c>
      <c r="L21" s="99">
        <v>16672892.33</v>
      </c>
      <c r="M21" s="99">
        <v>65328565.380000003</v>
      </c>
      <c r="N21" s="69">
        <v>1770693018.3699999</v>
      </c>
      <c r="O21" s="72">
        <v>0</v>
      </c>
      <c r="P21" s="72">
        <f t="shared" si="2"/>
        <v>1770693018.3699999</v>
      </c>
      <c r="Q21" s="72">
        <f t="shared" si="3"/>
        <v>4195108667</v>
      </c>
      <c r="R21" s="73">
        <f t="shared" si="4"/>
        <v>3955052605</v>
      </c>
      <c r="S21" s="64">
        <v>11</v>
      </c>
    </row>
    <row r="22" spans="1:19" ht="18" customHeight="1" x14ac:dyDescent="0.25">
      <c r="A22" s="64">
        <v>12</v>
      </c>
      <c r="B22" s="66" t="s">
        <v>48</v>
      </c>
      <c r="C22" s="74">
        <v>18</v>
      </c>
      <c r="D22" s="68">
        <v>2255865892.71</v>
      </c>
      <c r="E22" s="68">
        <v>1641702913.97</v>
      </c>
      <c r="F22" s="69">
        <f t="shared" si="0"/>
        <v>3897568806.6800003</v>
      </c>
      <c r="G22" s="70">
        <v>91028172.920000002</v>
      </c>
      <c r="H22" s="70">
        <v>0</v>
      </c>
      <c r="I22" s="68">
        <v>293406548.16999996</v>
      </c>
      <c r="J22" s="71">
        <f t="shared" si="1"/>
        <v>3513134085.5900002</v>
      </c>
      <c r="K22" s="71">
        <v>192332354.15000001</v>
      </c>
      <c r="L22" s="99">
        <f>17425844.64+6948414.35</f>
        <v>24374258.990000002</v>
      </c>
      <c r="M22" s="99">
        <v>68278820.989999995</v>
      </c>
      <c r="N22" s="69">
        <v>1854600781.9400001</v>
      </c>
      <c r="O22" s="72">
        <v>0</v>
      </c>
      <c r="P22" s="72">
        <f t="shared" si="2"/>
        <v>1854600781.9400001</v>
      </c>
      <c r="Q22" s="72">
        <f t="shared" si="3"/>
        <v>6037155022.75</v>
      </c>
      <c r="R22" s="73">
        <f t="shared" si="4"/>
        <v>5652720301.6599998</v>
      </c>
      <c r="S22" s="64">
        <v>12</v>
      </c>
    </row>
    <row r="23" spans="1:19" ht="18" customHeight="1" x14ac:dyDescent="0.25">
      <c r="A23" s="64">
        <v>13</v>
      </c>
      <c r="B23" s="66" t="s">
        <v>49</v>
      </c>
      <c r="C23" s="74">
        <v>16</v>
      </c>
      <c r="D23" s="68">
        <v>2157174346.0900002</v>
      </c>
      <c r="E23" s="68">
        <v>0</v>
      </c>
      <c r="F23" s="69">
        <f t="shared" si="0"/>
        <v>2157174346.0900002</v>
      </c>
      <c r="G23" s="70">
        <v>99000874.819999993</v>
      </c>
      <c r="H23" s="70">
        <v>491490204.30000001</v>
      </c>
      <c r="I23" s="68">
        <v>357802585.31</v>
      </c>
      <c r="J23" s="71">
        <f t="shared" si="1"/>
        <v>1208880681.6600003</v>
      </c>
      <c r="K23" s="71">
        <v>183918034.16</v>
      </c>
      <c r="L23" s="99">
        <v>16663483.91</v>
      </c>
      <c r="M23" s="99">
        <v>65291700.850000001</v>
      </c>
      <c r="N23" s="69">
        <v>1748674104.8399999</v>
      </c>
      <c r="O23" s="72">
        <v>0</v>
      </c>
      <c r="P23" s="72">
        <f t="shared" si="2"/>
        <v>1748674104.8399999</v>
      </c>
      <c r="Q23" s="72">
        <f t="shared" si="3"/>
        <v>4171721669.8499994</v>
      </c>
      <c r="R23" s="73">
        <f t="shared" si="4"/>
        <v>3223428005.4200001</v>
      </c>
      <c r="S23" s="64">
        <v>13</v>
      </c>
    </row>
    <row r="24" spans="1:19" ht="18" customHeight="1" x14ac:dyDescent="0.25">
      <c r="A24" s="64">
        <v>14</v>
      </c>
      <c r="B24" s="66" t="s">
        <v>50</v>
      </c>
      <c r="C24" s="74">
        <v>17</v>
      </c>
      <c r="D24" s="68">
        <v>2426249638.8800001</v>
      </c>
      <c r="E24" s="68">
        <v>0</v>
      </c>
      <c r="F24" s="69">
        <f t="shared" si="0"/>
        <v>2426249638.8800001</v>
      </c>
      <c r="G24" s="70">
        <v>97607572.599999994</v>
      </c>
      <c r="H24" s="70">
        <v>0</v>
      </c>
      <c r="I24" s="68">
        <v>79421111.930000007</v>
      </c>
      <c r="J24" s="71">
        <f t="shared" si="1"/>
        <v>2249220954.3500004</v>
      </c>
      <c r="K24" s="71">
        <v>206859063</v>
      </c>
      <c r="L24" s="99">
        <v>18742004.739999998</v>
      </c>
      <c r="M24" s="99">
        <v>73435865.720000014</v>
      </c>
      <c r="N24" s="69">
        <v>1872729543.6800001</v>
      </c>
      <c r="O24" s="72">
        <v>0</v>
      </c>
      <c r="P24" s="72">
        <f t="shared" si="2"/>
        <v>1872729543.6800001</v>
      </c>
      <c r="Q24" s="72">
        <f t="shared" si="3"/>
        <v>4598016116.0199995</v>
      </c>
      <c r="R24" s="73">
        <f t="shared" si="4"/>
        <v>4420987431.4899998</v>
      </c>
      <c r="S24" s="64">
        <v>14</v>
      </c>
    </row>
    <row r="25" spans="1:19" ht="18" customHeight="1" x14ac:dyDescent="0.25">
      <c r="A25" s="64">
        <v>15</v>
      </c>
      <c r="B25" s="66" t="s">
        <v>51</v>
      </c>
      <c r="C25" s="74">
        <v>11</v>
      </c>
      <c r="D25" s="68">
        <v>2272449251.8099999</v>
      </c>
      <c r="E25" s="68">
        <v>0</v>
      </c>
      <c r="F25" s="69">
        <f t="shared" si="0"/>
        <v>2272449251.8099999</v>
      </c>
      <c r="G25" s="70">
        <v>57175560.829999998</v>
      </c>
      <c r="H25" s="70">
        <v>533792423.91000003</v>
      </c>
      <c r="I25" s="68">
        <v>27861986.899999917</v>
      </c>
      <c r="J25" s="71">
        <f t="shared" si="1"/>
        <v>1653619280.1700001</v>
      </c>
      <c r="K25" s="71">
        <v>193746230.97999999</v>
      </c>
      <c r="L25" s="99">
        <v>17553945.800000001</v>
      </c>
      <c r="M25" s="99">
        <v>68780753.409999996</v>
      </c>
      <c r="N25" s="69">
        <v>1630067135.27</v>
      </c>
      <c r="O25" s="72">
        <v>0</v>
      </c>
      <c r="P25" s="72">
        <f t="shared" si="2"/>
        <v>1630067135.27</v>
      </c>
      <c r="Q25" s="72">
        <f t="shared" si="3"/>
        <v>4182597317.27</v>
      </c>
      <c r="R25" s="73">
        <f t="shared" si="4"/>
        <v>3563767345.6300001</v>
      </c>
      <c r="S25" s="64">
        <v>15</v>
      </c>
    </row>
    <row r="26" spans="1:19" ht="18" customHeight="1" x14ac:dyDescent="0.25">
      <c r="A26" s="64">
        <v>16</v>
      </c>
      <c r="B26" s="66" t="s">
        <v>52</v>
      </c>
      <c r="C26" s="74">
        <v>27</v>
      </c>
      <c r="D26" s="68">
        <v>2508384912.2599998</v>
      </c>
      <c r="E26" s="68">
        <v>842087676.26999998</v>
      </c>
      <c r="F26" s="69">
        <f t="shared" si="0"/>
        <v>3350472588.5299997</v>
      </c>
      <c r="G26" s="70">
        <v>55600505.689999998</v>
      </c>
      <c r="H26" s="70">
        <v>0</v>
      </c>
      <c r="I26" s="68">
        <v>525452571.73999995</v>
      </c>
      <c r="J26" s="71">
        <f t="shared" si="1"/>
        <v>2769419511.0999999</v>
      </c>
      <c r="K26" s="71">
        <v>213861815.47999999</v>
      </c>
      <c r="L26" s="99">
        <f>19376473.54+5500503.87</f>
        <v>24876977.41</v>
      </c>
      <c r="M26" s="99">
        <v>75921873.269999996</v>
      </c>
      <c r="N26" s="69">
        <v>1910998340.5699999</v>
      </c>
      <c r="O26" s="72">
        <v>0</v>
      </c>
      <c r="P26" s="72">
        <f t="shared" si="2"/>
        <v>1910998340.5699999</v>
      </c>
      <c r="Q26" s="72">
        <f t="shared" si="3"/>
        <v>5576131595.2599993</v>
      </c>
      <c r="R26" s="73">
        <f t="shared" si="4"/>
        <v>4995078517.8299999</v>
      </c>
      <c r="S26" s="64">
        <v>16</v>
      </c>
    </row>
    <row r="27" spans="1:19" ht="18" customHeight="1" x14ac:dyDescent="0.25">
      <c r="A27" s="64">
        <v>17</v>
      </c>
      <c r="B27" s="66" t="s">
        <v>53</v>
      </c>
      <c r="C27" s="74">
        <v>27</v>
      </c>
      <c r="D27" s="68">
        <v>2698000661.48</v>
      </c>
      <c r="E27" s="68">
        <v>0</v>
      </c>
      <c r="F27" s="69">
        <f t="shared" si="0"/>
        <v>2698000661.48</v>
      </c>
      <c r="G27" s="70">
        <v>35446402.5</v>
      </c>
      <c r="H27" s="70">
        <v>0</v>
      </c>
      <c r="I27" s="68">
        <v>74027815.959999993</v>
      </c>
      <c r="J27" s="71">
        <f t="shared" si="1"/>
        <v>2588526443.02</v>
      </c>
      <c r="K27" s="71">
        <v>230028221.27000001</v>
      </c>
      <c r="L27" s="99">
        <v>20841194.73</v>
      </c>
      <c r="M27" s="99">
        <v>81661017.530000001</v>
      </c>
      <c r="N27" s="69">
        <v>2029215324.52</v>
      </c>
      <c r="O27" s="72">
        <v>0</v>
      </c>
      <c r="P27" s="72">
        <f t="shared" si="2"/>
        <v>2029215324.52</v>
      </c>
      <c r="Q27" s="72">
        <f t="shared" si="3"/>
        <v>5059746419.5300007</v>
      </c>
      <c r="R27" s="73">
        <f t="shared" si="4"/>
        <v>4950272201.0699997</v>
      </c>
      <c r="S27" s="64">
        <v>17</v>
      </c>
    </row>
    <row r="28" spans="1:19" ht="18" customHeight="1" x14ac:dyDescent="0.25">
      <c r="A28" s="64">
        <v>18</v>
      </c>
      <c r="B28" s="66" t="s">
        <v>54</v>
      </c>
      <c r="C28" s="74">
        <v>23</v>
      </c>
      <c r="D28" s="68">
        <v>3161021580.5700002</v>
      </c>
      <c r="E28" s="68">
        <v>0</v>
      </c>
      <c r="F28" s="69">
        <f t="shared" si="0"/>
        <v>3161021580.5700002</v>
      </c>
      <c r="G28" s="70">
        <v>499421870.93000001</v>
      </c>
      <c r="H28" s="70">
        <v>0</v>
      </c>
      <c r="I28" s="68">
        <v>776799.58999997377</v>
      </c>
      <c r="J28" s="71">
        <f t="shared" si="1"/>
        <v>2660822910.0500002</v>
      </c>
      <c r="K28" s="71">
        <v>269504815.91000003</v>
      </c>
      <c r="L28" s="99">
        <v>24417883.68</v>
      </c>
      <c r="M28" s="99">
        <v>95675380.070000008</v>
      </c>
      <c r="N28" s="69">
        <v>2677465850.1100001</v>
      </c>
      <c r="O28" s="72">
        <v>0</v>
      </c>
      <c r="P28" s="72">
        <f t="shared" si="2"/>
        <v>2677465850.1100001</v>
      </c>
      <c r="Q28" s="72">
        <f t="shared" si="3"/>
        <v>6228085510.3400002</v>
      </c>
      <c r="R28" s="73">
        <f t="shared" si="4"/>
        <v>5727886839.8199997</v>
      </c>
      <c r="S28" s="64">
        <v>18</v>
      </c>
    </row>
    <row r="29" spans="1:19" ht="18" customHeight="1" x14ac:dyDescent="0.25">
      <c r="A29" s="64">
        <v>19</v>
      </c>
      <c r="B29" s="66" t="s">
        <v>55</v>
      </c>
      <c r="C29" s="74">
        <v>44</v>
      </c>
      <c r="D29" s="68">
        <v>3826768539.4200001</v>
      </c>
      <c r="E29" s="68">
        <v>0</v>
      </c>
      <c r="F29" s="69">
        <f t="shared" si="0"/>
        <v>3826768539.4200001</v>
      </c>
      <c r="G29" s="70">
        <v>88827869.689999998</v>
      </c>
      <c r="H29" s="70">
        <v>585230380</v>
      </c>
      <c r="I29" s="68">
        <v>261606448.74000001</v>
      </c>
      <c r="J29" s="71">
        <f t="shared" si="1"/>
        <v>2891103840.9899998</v>
      </c>
      <c r="K29" s="71">
        <v>326265583.58999997</v>
      </c>
      <c r="L29" s="99">
        <v>29560566.629999999</v>
      </c>
      <c r="M29" s="99">
        <v>115825699.09999999</v>
      </c>
      <c r="N29" s="69">
        <v>3414014709.6199999</v>
      </c>
      <c r="O29" s="72">
        <v>0</v>
      </c>
      <c r="P29" s="72">
        <f t="shared" si="2"/>
        <v>3414014709.6199999</v>
      </c>
      <c r="Q29" s="72">
        <f t="shared" si="3"/>
        <v>7712435098.3600006</v>
      </c>
      <c r="R29" s="73">
        <f t="shared" si="4"/>
        <v>6776770399.9300003</v>
      </c>
      <c r="S29" s="64">
        <v>19</v>
      </c>
    </row>
    <row r="30" spans="1:19" ht="18" customHeight="1" x14ac:dyDescent="0.25">
      <c r="A30" s="64">
        <v>20</v>
      </c>
      <c r="B30" s="66" t="s">
        <v>56</v>
      </c>
      <c r="C30" s="74">
        <v>34</v>
      </c>
      <c r="D30" s="68">
        <v>2965636708.4000001</v>
      </c>
      <c r="E30" s="68">
        <v>0</v>
      </c>
      <c r="F30" s="69">
        <f t="shared" si="0"/>
        <v>2965636708.4000001</v>
      </c>
      <c r="G30" s="70">
        <v>131780920.95999999</v>
      </c>
      <c r="H30" s="70">
        <v>0</v>
      </c>
      <c r="I30" s="68">
        <v>37242725.269999996</v>
      </c>
      <c r="J30" s="71">
        <f t="shared" si="1"/>
        <v>2796613062.1700001</v>
      </c>
      <c r="K30" s="71">
        <v>252846541.78</v>
      </c>
      <c r="L30" s="99">
        <v>22908597.850000001</v>
      </c>
      <c r="M30" s="99">
        <v>89761620.400000006</v>
      </c>
      <c r="N30" s="69">
        <v>2332288864.3099999</v>
      </c>
      <c r="O30" s="72">
        <v>0</v>
      </c>
      <c r="P30" s="72">
        <f t="shared" si="2"/>
        <v>2332288864.3099999</v>
      </c>
      <c r="Q30" s="72">
        <f t="shared" si="3"/>
        <v>5663442332.7399998</v>
      </c>
      <c r="R30" s="73">
        <f t="shared" si="4"/>
        <v>5494418686.5100002</v>
      </c>
      <c r="S30" s="64">
        <v>20</v>
      </c>
    </row>
    <row r="31" spans="1:19" ht="18" customHeight="1" x14ac:dyDescent="0.25">
      <c r="A31" s="64">
        <v>21</v>
      </c>
      <c r="B31" s="66" t="s">
        <v>57</v>
      </c>
      <c r="C31" s="74">
        <v>21</v>
      </c>
      <c r="D31" s="68">
        <v>2547496728.23</v>
      </c>
      <c r="E31" s="68">
        <v>0</v>
      </c>
      <c r="F31" s="69">
        <f t="shared" si="0"/>
        <v>2547496728.23</v>
      </c>
      <c r="G31" s="70">
        <v>60837586.390000001</v>
      </c>
      <c r="H31" s="70">
        <v>0</v>
      </c>
      <c r="I31" s="68">
        <v>38104363.150000006</v>
      </c>
      <c r="J31" s="71">
        <f t="shared" si="1"/>
        <v>2448554778.6900001</v>
      </c>
      <c r="K31" s="71">
        <v>217196440.84999999</v>
      </c>
      <c r="L31" s="99">
        <v>19678599.84</v>
      </c>
      <c r="M31" s="99">
        <v>38552839.875</v>
      </c>
      <c r="N31" s="69">
        <v>1779791876.45</v>
      </c>
      <c r="O31" s="72">
        <v>0</v>
      </c>
      <c r="P31" s="72">
        <f t="shared" si="2"/>
        <v>1779791876.45</v>
      </c>
      <c r="Q31" s="72">
        <f t="shared" si="3"/>
        <v>4602716485.2449999</v>
      </c>
      <c r="R31" s="73">
        <f t="shared" si="4"/>
        <v>4503774535.7049999</v>
      </c>
      <c r="S31" s="64">
        <v>21</v>
      </c>
    </row>
    <row r="32" spans="1:19" ht="18" customHeight="1" x14ac:dyDescent="0.25">
      <c r="A32" s="64">
        <v>22</v>
      </c>
      <c r="B32" s="66" t="s">
        <v>58</v>
      </c>
      <c r="C32" s="74">
        <v>21</v>
      </c>
      <c r="D32" s="68">
        <v>2666460009.6300001</v>
      </c>
      <c r="E32" s="68">
        <v>0</v>
      </c>
      <c r="F32" s="69">
        <f t="shared" si="0"/>
        <v>2666460009.6300001</v>
      </c>
      <c r="G32" s="70">
        <v>46707847.82</v>
      </c>
      <c r="H32" s="70">
        <v>117593824.09999999</v>
      </c>
      <c r="I32" s="68">
        <v>182410406.56000003</v>
      </c>
      <c r="J32" s="71">
        <f t="shared" si="1"/>
        <v>2319747931.1500001</v>
      </c>
      <c r="K32" s="71">
        <v>227339104.05000001</v>
      </c>
      <c r="L32" s="99">
        <v>20597553.25</v>
      </c>
      <c r="M32" s="99">
        <v>40353184.620000005</v>
      </c>
      <c r="N32" s="69">
        <v>1801477261.78</v>
      </c>
      <c r="O32" s="72">
        <v>0</v>
      </c>
      <c r="P32" s="72">
        <f t="shared" si="2"/>
        <v>1801477261.78</v>
      </c>
      <c r="Q32" s="72">
        <f t="shared" si="3"/>
        <v>4756227113.3299999</v>
      </c>
      <c r="R32" s="73">
        <f t="shared" si="4"/>
        <v>4409515034.8500004</v>
      </c>
      <c r="S32" s="64">
        <v>22</v>
      </c>
    </row>
    <row r="33" spans="1:19" ht="18" customHeight="1" x14ac:dyDescent="0.25">
      <c r="A33" s="64">
        <v>23</v>
      </c>
      <c r="B33" s="66" t="s">
        <v>59</v>
      </c>
      <c r="C33" s="74">
        <v>16</v>
      </c>
      <c r="D33" s="68">
        <v>2147556829.1700001</v>
      </c>
      <c r="E33" s="68">
        <v>0</v>
      </c>
      <c r="F33" s="69">
        <f t="shared" si="0"/>
        <v>2147556829.1700001</v>
      </c>
      <c r="G33" s="70">
        <v>45348106.890000001</v>
      </c>
      <c r="H33" s="70">
        <v>0</v>
      </c>
      <c r="I33" s="68">
        <v>247297410.31999999</v>
      </c>
      <c r="J33" s="71">
        <f t="shared" si="1"/>
        <v>1854911311.96</v>
      </c>
      <c r="K33" s="71">
        <v>183098056.47999999</v>
      </c>
      <c r="L33" s="99">
        <v>16589191.66</v>
      </c>
      <c r="M33" s="99">
        <v>32500302.609999999</v>
      </c>
      <c r="N33" s="69">
        <v>1652622045.6700001</v>
      </c>
      <c r="O33" s="72">
        <v>0</v>
      </c>
      <c r="P33" s="72">
        <f t="shared" si="2"/>
        <v>1652622045.6700001</v>
      </c>
      <c r="Q33" s="72">
        <f t="shared" si="3"/>
        <v>4032366425.5900002</v>
      </c>
      <c r="R33" s="73">
        <f t="shared" si="4"/>
        <v>3739720908.3800001</v>
      </c>
      <c r="S33" s="64">
        <v>23</v>
      </c>
    </row>
    <row r="34" spans="1:19" ht="18" customHeight="1" x14ac:dyDescent="0.25">
      <c r="A34" s="64">
        <v>24</v>
      </c>
      <c r="B34" s="66" t="s">
        <v>60</v>
      </c>
      <c r="C34" s="74">
        <v>20</v>
      </c>
      <c r="D34" s="68">
        <v>3231954285.1899996</v>
      </c>
      <c r="E34" s="68">
        <v>0</v>
      </c>
      <c r="F34" s="69">
        <f t="shared" si="0"/>
        <v>3231954285.1899996</v>
      </c>
      <c r="G34" s="70">
        <v>1624033480.1500001</v>
      </c>
      <c r="H34" s="70">
        <v>1000000000</v>
      </c>
      <c r="I34" s="68">
        <v>1000776799.5899999</v>
      </c>
      <c r="J34" s="71">
        <f t="shared" si="1"/>
        <v>-392855994.55000043</v>
      </c>
      <c r="K34" s="71">
        <v>275552451.14999998</v>
      </c>
      <c r="L34" s="99">
        <v>24965816.199999999</v>
      </c>
      <c r="M34" s="99">
        <v>97822316.830000013</v>
      </c>
      <c r="N34" s="69">
        <v>13016669796.440001</v>
      </c>
      <c r="O34" s="72">
        <v>1000000000</v>
      </c>
      <c r="P34" s="72">
        <f t="shared" si="2"/>
        <v>12016669796.440001</v>
      </c>
      <c r="Q34" s="72">
        <f t="shared" si="3"/>
        <v>16646964665.809999</v>
      </c>
      <c r="R34" s="73">
        <f t="shared" si="4"/>
        <v>12022154386.07</v>
      </c>
      <c r="S34" s="64">
        <v>24</v>
      </c>
    </row>
    <row r="35" spans="1:19" ht="18" customHeight="1" x14ac:dyDescent="0.25">
      <c r="A35" s="64">
        <v>25</v>
      </c>
      <c r="B35" s="66" t="s">
        <v>61</v>
      </c>
      <c r="C35" s="74">
        <v>13</v>
      </c>
      <c r="D35" s="68">
        <v>2224873489.5999999</v>
      </c>
      <c r="E35" s="68">
        <v>0</v>
      </c>
      <c r="F35" s="69">
        <f t="shared" si="0"/>
        <v>2224873489.5999999</v>
      </c>
      <c r="G35" s="70">
        <v>34204952.520000003</v>
      </c>
      <c r="H35" s="70">
        <v>124722672.83</v>
      </c>
      <c r="I35" s="68">
        <v>776799.59000000358</v>
      </c>
      <c r="J35" s="71">
        <f t="shared" si="1"/>
        <v>2065169064.6600001</v>
      </c>
      <c r="K35" s="71">
        <v>189689979.94999999</v>
      </c>
      <c r="L35" s="99">
        <v>17186438.210000001</v>
      </c>
      <c r="M35" s="99">
        <v>67340766.670000002</v>
      </c>
      <c r="N35" s="69">
        <v>1580531276.78</v>
      </c>
      <c r="O35" s="72">
        <v>0</v>
      </c>
      <c r="P35" s="72">
        <f t="shared" si="2"/>
        <v>1580531276.78</v>
      </c>
      <c r="Q35" s="72">
        <f t="shared" si="3"/>
        <v>4079621951.21</v>
      </c>
      <c r="R35" s="73">
        <f t="shared" si="4"/>
        <v>3919917526.2700005</v>
      </c>
      <c r="S35" s="64">
        <v>25</v>
      </c>
    </row>
    <row r="36" spans="1:19" ht="18" customHeight="1" x14ac:dyDescent="0.25">
      <c r="A36" s="64">
        <v>26</v>
      </c>
      <c r="B36" s="66" t="s">
        <v>62</v>
      </c>
      <c r="C36" s="74">
        <v>25</v>
      </c>
      <c r="D36" s="68">
        <v>2857750937.0799999</v>
      </c>
      <c r="E36" s="68">
        <v>0</v>
      </c>
      <c r="F36" s="69">
        <f t="shared" si="0"/>
        <v>2857750937.0799999</v>
      </c>
      <c r="G36" s="70">
        <v>71360609.75</v>
      </c>
      <c r="H36" s="70">
        <v>275631992.38</v>
      </c>
      <c r="I36" s="68">
        <v>291626931.51999998</v>
      </c>
      <c r="J36" s="71">
        <f t="shared" si="1"/>
        <v>2219131403.4299998</v>
      </c>
      <c r="K36" s="71">
        <v>243648333.47999999</v>
      </c>
      <c r="L36" s="99">
        <v>22075214.670000002</v>
      </c>
      <c r="M36" s="99">
        <v>43248108.260000005</v>
      </c>
      <c r="N36" s="69">
        <v>1983753920.49</v>
      </c>
      <c r="O36" s="72">
        <v>0</v>
      </c>
      <c r="P36" s="72">
        <f t="shared" si="2"/>
        <v>1983753920.49</v>
      </c>
      <c r="Q36" s="72">
        <f t="shared" si="3"/>
        <v>5150476513.9800005</v>
      </c>
      <c r="R36" s="73">
        <f t="shared" si="4"/>
        <v>4511856980.3299999</v>
      </c>
      <c r="S36" s="64">
        <v>26</v>
      </c>
    </row>
    <row r="37" spans="1:19" ht="18" customHeight="1" x14ac:dyDescent="0.25">
      <c r="A37" s="64">
        <v>27</v>
      </c>
      <c r="B37" s="66" t="s">
        <v>63</v>
      </c>
      <c r="C37" s="74">
        <v>20</v>
      </c>
      <c r="D37" s="68">
        <v>2241397628.9299998</v>
      </c>
      <c r="E37" s="68">
        <v>0</v>
      </c>
      <c r="F37" s="69">
        <f t="shared" si="0"/>
        <v>2241397628.9299998</v>
      </c>
      <c r="G37" s="70">
        <v>115070808.52</v>
      </c>
      <c r="H37" s="70">
        <v>0</v>
      </c>
      <c r="I37" s="68">
        <v>888896735.88</v>
      </c>
      <c r="J37" s="71">
        <f t="shared" si="1"/>
        <v>1237430084.5299997</v>
      </c>
      <c r="K37" s="71">
        <v>191098807.75999999</v>
      </c>
      <c r="L37" s="99">
        <v>17314081.91</v>
      </c>
      <c r="M37" s="99">
        <v>67840906.659999996</v>
      </c>
      <c r="N37" s="69">
        <v>2080407656.8</v>
      </c>
      <c r="O37" s="72">
        <v>0</v>
      </c>
      <c r="P37" s="72">
        <f t="shared" si="2"/>
        <v>2080407656.8</v>
      </c>
      <c r="Q37" s="72">
        <f t="shared" si="3"/>
        <v>4598059082.0599995</v>
      </c>
      <c r="R37" s="73">
        <f t="shared" si="4"/>
        <v>3594091537.6599998</v>
      </c>
      <c r="S37" s="64">
        <v>27</v>
      </c>
    </row>
    <row r="38" spans="1:19" ht="18" customHeight="1" x14ac:dyDescent="0.25">
      <c r="A38" s="64">
        <v>28</v>
      </c>
      <c r="B38" s="66" t="s">
        <v>64</v>
      </c>
      <c r="C38" s="74">
        <v>18</v>
      </c>
      <c r="D38" s="68">
        <v>2245838088.6500001</v>
      </c>
      <c r="E38" s="68">
        <v>948686232.41999996</v>
      </c>
      <c r="F38" s="69">
        <f t="shared" si="0"/>
        <v>3194524321.0700002</v>
      </c>
      <c r="G38" s="70">
        <v>84587125.640000001</v>
      </c>
      <c r="H38" s="70">
        <v>951959613.62</v>
      </c>
      <c r="I38" s="68">
        <v>154034065.85000002</v>
      </c>
      <c r="J38" s="71">
        <f t="shared" si="1"/>
        <v>2003943515.9600005</v>
      </c>
      <c r="K38" s="71">
        <v>191477395.90000001</v>
      </c>
      <c r="L38" s="99">
        <f>17348383.05+5898819.54</f>
        <v>23247202.59</v>
      </c>
      <c r="M38" s="99">
        <v>67975307.100000009</v>
      </c>
      <c r="N38" s="69">
        <v>1858594167.3099999</v>
      </c>
      <c r="O38" s="72">
        <v>0</v>
      </c>
      <c r="P38" s="72">
        <f t="shared" si="2"/>
        <v>1858594167.3099999</v>
      </c>
      <c r="Q38" s="72">
        <f t="shared" si="3"/>
        <v>5335818393.9700003</v>
      </c>
      <c r="R38" s="73">
        <f t="shared" si="4"/>
        <v>4145237588.8600006</v>
      </c>
      <c r="S38" s="64">
        <v>28</v>
      </c>
    </row>
    <row r="39" spans="1:19" ht="18" customHeight="1" x14ac:dyDescent="0.25">
      <c r="A39" s="64">
        <v>29</v>
      </c>
      <c r="B39" s="66" t="s">
        <v>65</v>
      </c>
      <c r="C39" s="74">
        <v>30</v>
      </c>
      <c r="D39" s="68">
        <v>2200308355.21</v>
      </c>
      <c r="E39" s="68">
        <v>0</v>
      </c>
      <c r="F39" s="69">
        <f t="shared" si="0"/>
        <v>2200308355.21</v>
      </c>
      <c r="G39" s="70">
        <v>161618795.03999999</v>
      </c>
      <c r="H39" s="70">
        <v>0</v>
      </c>
      <c r="I39" s="68">
        <v>1243047743.6000001</v>
      </c>
      <c r="J39" s="71">
        <f t="shared" si="1"/>
        <v>795641816.56999993</v>
      </c>
      <c r="K39" s="71">
        <v>187595586.77000001</v>
      </c>
      <c r="L39" s="99">
        <v>16996680.379999999</v>
      </c>
      <c r="M39" s="99">
        <v>66597248</v>
      </c>
      <c r="N39" s="69">
        <v>1834379074.55</v>
      </c>
      <c r="O39" s="72">
        <v>0</v>
      </c>
      <c r="P39" s="72">
        <f t="shared" si="2"/>
        <v>1834379074.55</v>
      </c>
      <c r="Q39" s="72">
        <f t="shared" si="3"/>
        <v>4305876944.9099998</v>
      </c>
      <c r="R39" s="73">
        <f t="shared" si="4"/>
        <v>2901210406.27</v>
      </c>
      <c r="S39" s="64">
        <v>29</v>
      </c>
    </row>
    <row r="40" spans="1:19" ht="18" customHeight="1" x14ac:dyDescent="0.25">
      <c r="A40" s="64">
        <v>30</v>
      </c>
      <c r="B40" s="66" t="s">
        <v>66</v>
      </c>
      <c r="C40" s="74">
        <v>33</v>
      </c>
      <c r="D40" s="68">
        <v>2705946960.1299996</v>
      </c>
      <c r="E40" s="68">
        <v>0</v>
      </c>
      <c r="F40" s="69">
        <f t="shared" si="0"/>
        <v>2705946960.1299996</v>
      </c>
      <c r="G40" s="70">
        <v>359936332.60000002</v>
      </c>
      <c r="H40" s="70">
        <v>99912935</v>
      </c>
      <c r="I40" s="68">
        <v>466336833.05999994</v>
      </c>
      <c r="J40" s="71">
        <f t="shared" si="1"/>
        <v>1779760859.4699998</v>
      </c>
      <c r="K40" s="71">
        <v>230705712.93000001</v>
      </c>
      <c r="L40" s="99">
        <v>20902577.350000001</v>
      </c>
      <c r="M40" s="99">
        <v>81901530.00999999</v>
      </c>
      <c r="N40" s="69">
        <v>3626315553.6700001</v>
      </c>
      <c r="O40" s="72">
        <v>0</v>
      </c>
      <c r="P40" s="72">
        <f t="shared" si="2"/>
        <v>3626315553.6700001</v>
      </c>
      <c r="Q40" s="72">
        <f t="shared" si="3"/>
        <v>6665772334.0899992</v>
      </c>
      <c r="R40" s="73">
        <f t="shared" si="4"/>
        <v>5739586233.4300003</v>
      </c>
      <c r="S40" s="64">
        <v>30</v>
      </c>
    </row>
    <row r="41" spans="1:19" ht="18" customHeight="1" x14ac:dyDescent="0.25">
      <c r="A41" s="64">
        <v>31</v>
      </c>
      <c r="B41" s="66" t="s">
        <v>67</v>
      </c>
      <c r="C41" s="74">
        <v>17</v>
      </c>
      <c r="D41" s="68">
        <v>2519325791.3500004</v>
      </c>
      <c r="E41" s="68">
        <v>0</v>
      </c>
      <c r="F41" s="69">
        <f t="shared" si="0"/>
        <v>2519325791.3500004</v>
      </c>
      <c r="G41" s="70">
        <v>30016657.489999998</v>
      </c>
      <c r="H41" s="70">
        <v>400864283.55500001</v>
      </c>
      <c r="I41" s="68">
        <v>989948846.64499998</v>
      </c>
      <c r="J41" s="71">
        <f t="shared" si="1"/>
        <v>1098496003.6600006</v>
      </c>
      <c r="K41" s="71">
        <v>214794621.38999999</v>
      </c>
      <c r="L41" s="99">
        <v>19460988.34</v>
      </c>
      <c r="M41" s="99">
        <v>38126511.715000004</v>
      </c>
      <c r="N41" s="69">
        <v>1896387694.3800001</v>
      </c>
      <c r="O41" s="72">
        <v>0</v>
      </c>
      <c r="P41" s="72">
        <f t="shared" si="2"/>
        <v>1896387694.3800001</v>
      </c>
      <c r="Q41" s="72">
        <f t="shared" si="3"/>
        <v>4688095607.1750011</v>
      </c>
      <c r="R41" s="73">
        <f t="shared" si="4"/>
        <v>3267265819.4850006</v>
      </c>
      <c r="S41" s="64">
        <v>31</v>
      </c>
    </row>
    <row r="42" spans="1:19" ht="18" customHeight="1" x14ac:dyDescent="0.25">
      <c r="A42" s="64">
        <v>32</v>
      </c>
      <c r="B42" s="66" t="s">
        <v>68</v>
      </c>
      <c r="C42" s="74">
        <v>23</v>
      </c>
      <c r="D42" s="68">
        <v>2601867411.0999999</v>
      </c>
      <c r="E42" s="68">
        <v>7401909701.1700001</v>
      </c>
      <c r="F42" s="69">
        <f t="shared" si="0"/>
        <v>10003777112.27</v>
      </c>
      <c r="G42" s="70">
        <v>235396084.11000001</v>
      </c>
      <c r="H42" s="70">
        <v>0</v>
      </c>
      <c r="I42" s="68">
        <v>307411368.13</v>
      </c>
      <c r="J42" s="71">
        <f t="shared" si="1"/>
        <v>9460969660.0300007</v>
      </c>
      <c r="K42" s="71">
        <v>221832018.47</v>
      </c>
      <c r="L42" s="99">
        <f>20098596.03+36220802.84</f>
        <v>56319398.870000005</v>
      </c>
      <c r="M42" s="99">
        <v>78751329.940000013</v>
      </c>
      <c r="N42" s="69">
        <v>3055870493.5300002</v>
      </c>
      <c r="O42" s="72">
        <v>0</v>
      </c>
      <c r="P42" s="72">
        <f t="shared" si="2"/>
        <v>3055870493.5300002</v>
      </c>
      <c r="Q42" s="72">
        <f t="shared" si="3"/>
        <v>13416550353.080002</v>
      </c>
      <c r="R42" s="73">
        <f t="shared" si="4"/>
        <v>12873742900.840002</v>
      </c>
      <c r="S42" s="64">
        <v>32</v>
      </c>
    </row>
    <row r="43" spans="1:19" ht="18" customHeight="1" x14ac:dyDescent="0.25">
      <c r="A43" s="64">
        <v>33</v>
      </c>
      <c r="B43" s="66" t="s">
        <v>69</v>
      </c>
      <c r="C43" s="74">
        <v>23</v>
      </c>
      <c r="D43" s="68">
        <v>2658872289.54</v>
      </c>
      <c r="E43" s="68">
        <v>0</v>
      </c>
      <c r="F43" s="69">
        <f t="shared" si="0"/>
        <v>2658872289.54</v>
      </c>
      <c r="G43" s="70">
        <v>49319478.219999999</v>
      </c>
      <c r="H43" s="70">
        <v>0</v>
      </c>
      <c r="I43" s="68">
        <v>352564984.91999996</v>
      </c>
      <c r="J43" s="71">
        <f t="shared" si="1"/>
        <v>2256987826.4000001</v>
      </c>
      <c r="K43" s="71">
        <v>226692184.36000001</v>
      </c>
      <c r="L43" s="99">
        <v>20538940.539999999</v>
      </c>
      <c r="M43" s="99">
        <v>80476709.939999998</v>
      </c>
      <c r="N43" s="69">
        <v>2052849715.97</v>
      </c>
      <c r="O43" s="72">
        <v>0</v>
      </c>
      <c r="P43" s="72">
        <f t="shared" si="2"/>
        <v>2052849715.97</v>
      </c>
      <c r="Q43" s="72">
        <f t="shared" si="3"/>
        <v>5039429840.3500004</v>
      </c>
      <c r="R43" s="73">
        <f t="shared" si="4"/>
        <v>4637545377.21</v>
      </c>
      <c r="S43" s="64">
        <v>33</v>
      </c>
    </row>
    <row r="44" spans="1:19" ht="18" customHeight="1" x14ac:dyDescent="0.25">
      <c r="A44" s="64">
        <v>34</v>
      </c>
      <c r="B44" s="66" t="s">
        <v>70</v>
      </c>
      <c r="C44" s="74">
        <v>16</v>
      </c>
      <c r="D44" s="68">
        <v>2323965471.1900001</v>
      </c>
      <c r="E44" s="68">
        <v>0</v>
      </c>
      <c r="F44" s="69">
        <f t="shared" si="0"/>
        <v>2323965471.1900001</v>
      </c>
      <c r="G44" s="70">
        <v>76381878.329999998</v>
      </c>
      <c r="H44" s="70">
        <v>0</v>
      </c>
      <c r="I44" s="68">
        <v>713205467.69999993</v>
      </c>
      <c r="J44" s="71">
        <f t="shared" si="1"/>
        <v>1534378125.1600003</v>
      </c>
      <c r="K44" s="71">
        <v>198138440.53999999</v>
      </c>
      <c r="L44" s="99">
        <v>17951892.16</v>
      </c>
      <c r="M44" s="99">
        <v>70340006.86999999</v>
      </c>
      <c r="N44" s="69">
        <v>1604172122.55</v>
      </c>
      <c r="O44" s="72">
        <v>0</v>
      </c>
      <c r="P44" s="72">
        <f t="shared" si="2"/>
        <v>1604172122.55</v>
      </c>
      <c r="Q44" s="72">
        <f t="shared" si="3"/>
        <v>4214567933.3099995</v>
      </c>
      <c r="R44" s="73">
        <f t="shared" si="4"/>
        <v>3424980587.2800002</v>
      </c>
      <c r="S44" s="64">
        <v>34</v>
      </c>
    </row>
    <row r="45" spans="1:19" ht="18" customHeight="1" x14ac:dyDescent="0.25">
      <c r="A45" s="64">
        <v>35</v>
      </c>
      <c r="B45" s="66" t="s">
        <v>71</v>
      </c>
      <c r="C45" s="74">
        <v>17</v>
      </c>
      <c r="D45" s="68">
        <v>2395710074.52</v>
      </c>
      <c r="E45" s="68">
        <v>0</v>
      </c>
      <c r="F45" s="69">
        <f t="shared" si="0"/>
        <v>2395710074.52</v>
      </c>
      <c r="G45" s="70">
        <v>44955919.229999997</v>
      </c>
      <c r="H45" s="70">
        <v>0</v>
      </c>
      <c r="I45" s="68">
        <v>120904613.17000002</v>
      </c>
      <c r="J45" s="71">
        <f t="shared" si="1"/>
        <v>2229849542.1199999</v>
      </c>
      <c r="K45" s="71">
        <v>204255297.27000001</v>
      </c>
      <c r="L45" s="99">
        <v>18506096.350000001</v>
      </c>
      <c r="M45" s="99">
        <v>72511517.580000013</v>
      </c>
      <c r="N45" s="69">
        <v>1964044516.02</v>
      </c>
      <c r="O45" s="72">
        <v>0</v>
      </c>
      <c r="P45" s="72">
        <f t="shared" si="2"/>
        <v>1964044516.02</v>
      </c>
      <c r="Q45" s="72">
        <f t="shared" si="3"/>
        <v>4655027501.7399998</v>
      </c>
      <c r="R45" s="73">
        <f t="shared" si="4"/>
        <v>4489166969.3400002</v>
      </c>
      <c r="S45" s="64">
        <v>35</v>
      </c>
    </row>
    <row r="46" spans="1:19" ht="18" customHeight="1" x14ac:dyDescent="0.25">
      <c r="A46" s="64">
        <v>36</v>
      </c>
      <c r="B46" s="66" t="s">
        <v>72</v>
      </c>
      <c r="C46" s="74">
        <v>14</v>
      </c>
      <c r="D46" s="68">
        <v>2400812237.4499998</v>
      </c>
      <c r="E46" s="68">
        <v>0</v>
      </c>
      <c r="F46" s="69">
        <f t="shared" si="0"/>
        <v>2400812237.4499998</v>
      </c>
      <c r="G46" s="70">
        <v>37332162.299999997</v>
      </c>
      <c r="H46" s="70">
        <v>488822936.86000001</v>
      </c>
      <c r="I46" s="68">
        <v>243731807.12</v>
      </c>
      <c r="J46" s="71">
        <f t="shared" si="1"/>
        <v>1630925331.1699996</v>
      </c>
      <c r="K46" s="71">
        <v>204690301.41</v>
      </c>
      <c r="L46" s="99">
        <v>18545508.93</v>
      </c>
      <c r="M46" s="99">
        <v>72665945.939999998</v>
      </c>
      <c r="N46" s="69">
        <v>1772236955.1700001</v>
      </c>
      <c r="O46" s="72">
        <v>0</v>
      </c>
      <c r="P46" s="72">
        <f t="shared" si="2"/>
        <v>1772236955.1700001</v>
      </c>
      <c r="Q46" s="72">
        <f t="shared" si="3"/>
        <v>4468950948.8999996</v>
      </c>
      <c r="R46" s="73">
        <f t="shared" si="4"/>
        <v>3699064042.6199999</v>
      </c>
      <c r="S46" s="64">
        <v>36</v>
      </c>
    </row>
    <row r="47" spans="1:19" ht="31.5" customHeight="1" x14ac:dyDescent="0.4">
      <c r="A47" s="64">
        <v>38</v>
      </c>
      <c r="B47" s="81" t="s">
        <v>111</v>
      </c>
      <c r="C47" s="80">
        <v>0</v>
      </c>
      <c r="D47" s="68">
        <v>0</v>
      </c>
      <c r="E47" s="68">
        <v>732049979.32000005</v>
      </c>
      <c r="F47" s="69">
        <f t="shared" si="0"/>
        <v>732049979.32000005</v>
      </c>
      <c r="G47" s="70">
        <v>0</v>
      </c>
      <c r="H47" s="70">
        <v>0</v>
      </c>
      <c r="I47" s="68">
        <v>0</v>
      </c>
      <c r="J47" s="71">
        <f t="shared" si="1"/>
        <v>732049979.32000005</v>
      </c>
      <c r="K47" s="68"/>
      <c r="L47" s="68">
        <v>1475639.43</v>
      </c>
      <c r="M47" s="68"/>
      <c r="N47" s="68">
        <v>0</v>
      </c>
      <c r="O47" s="68">
        <v>0</v>
      </c>
      <c r="P47" s="68">
        <v>0</v>
      </c>
      <c r="Q47" s="72">
        <f t="shared" si="3"/>
        <v>733525618.75</v>
      </c>
      <c r="R47" s="73">
        <f t="shared" si="4"/>
        <v>733525618.75</v>
      </c>
      <c r="S47" s="64">
        <v>38</v>
      </c>
    </row>
    <row r="48" spans="1:19" ht="31.5" customHeight="1" thickBot="1" x14ac:dyDescent="0.45">
      <c r="A48" s="64"/>
      <c r="B48" s="101" t="s">
        <v>209</v>
      </c>
      <c r="C48" s="102"/>
      <c r="D48" s="103"/>
      <c r="E48" s="103"/>
      <c r="F48" s="104"/>
      <c r="G48" s="105"/>
      <c r="H48" s="105"/>
      <c r="I48" s="103"/>
      <c r="J48" s="106"/>
      <c r="K48" s="103"/>
      <c r="L48" s="103"/>
      <c r="M48" s="103">
        <v>233727188.01500005</v>
      </c>
      <c r="N48" s="103"/>
      <c r="O48" s="103"/>
      <c r="P48" s="103"/>
      <c r="Q48" s="72">
        <f t="shared" si="3"/>
        <v>233727188.01500005</v>
      </c>
      <c r="R48" s="73">
        <f t="shared" si="4"/>
        <v>233727188.01500005</v>
      </c>
      <c r="S48" s="62"/>
    </row>
    <row r="49" spans="1:19" ht="18" customHeight="1" thickTop="1" thickBot="1" x14ac:dyDescent="0.35">
      <c r="A49" s="64"/>
      <c r="B49" s="124" t="s">
        <v>210</v>
      </c>
      <c r="C49" s="125"/>
      <c r="D49" s="75">
        <f>SUM(D11:D48)</f>
        <v>91486188272.550018</v>
      </c>
      <c r="E49" s="75">
        <f t="shared" ref="E49:R49" si="5">SUM(E11:E48)</f>
        <v>40028463186.040001</v>
      </c>
      <c r="F49" s="75">
        <f t="shared" si="5"/>
        <v>131514651458.59003</v>
      </c>
      <c r="G49" s="75">
        <f t="shared" si="5"/>
        <v>4996692048.3599997</v>
      </c>
      <c r="H49" s="75">
        <f t="shared" si="5"/>
        <v>6008267205.7049999</v>
      </c>
      <c r="I49" s="75">
        <f t="shared" si="5"/>
        <v>14323943340.455</v>
      </c>
      <c r="J49" s="75">
        <f t="shared" si="5"/>
        <v>106185748864.07001</v>
      </c>
      <c r="K49" s="75">
        <f t="shared" si="5"/>
        <v>7799999999.9899998</v>
      </c>
      <c r="L49" s="75">
        <f t="shared" si="5"/>
        <v>919582056.50000012</v>
      </c>
      <c r="M49" s="75">
        <f t="shared" si="5"/>
        <v>2769033874.1999998</v>
      </c>
      <c r="N49" s="75">
        <f t="shared" si="5"/>
        <v>84496091720.430008</v>
      </c>
      <c r="O49" s="75">
        <f t="shared" si="5"/>
        <v>1000000000</v>
      </c>
      <c r="P49" s="75">
        <f t="shared" si="5"/>
        <v>83496091720.430008</v>
      </c>
      <c r="Q49" s="75">
        <f t="shared" si="5"/>
        <v>227499359109.70996</v>
      </c>
      <c r="R49" s="75">
        <f t="shared" si="5"/>
        <v>201170456515.19</v>
      </c>
      <c r="S49" s="60"/>
    </row>
    <row r="50" spans="1:19" ht="13.8" thickTop="1" x14ac:dyDescent="0.25">
      <c r="A50" s="60"/>
      <c r="B50" s="60" t="s">
        <v>107</v>
      </c>
      <c r="C50" s="60"/>
      <c r="D50" s="60">
        <v>0</v>
      </c>
      <c r="E50" s="60"/>
      <c r="F50" s="60"/>
      <c r="G50" s="60"/>
      <c r="H50" s="60"/>
      <c r="I50" s="77"/>
      <c r="J50" s="76">
        <f>G49+H49+I49</f>
        <v>25328902594.519997</v>
      </c>
      <c r="K50" s="76"/>
      <c r="L50" s="60"/>
      <c r="M50" s="60"/>
      <c r="N50" s="60"/>
      <c r="O50" s="60"/>
      <c r="P50" s="60"/>
      <c r="Q50" s="60"/>
      <c r="R50" s="60"/>
      <c r="S50" s="60"/>
    </row>
    <row r="51" spans="1:19" x14ac:dyDescent="0.25">
      <c r="A51" s="60"/>
      <c r="B51" s="60"/>
      <c r="C51" s="78" t="s">
        <v>34</v>
      </c>
      <c r="D51" s="60"/>
      <c r="E51" s="60"/>
      <c r="F51" s="60"/>
      <c r="G51" s="60"/>
      <c r="H51" s="60"/>
      <c r="I51" s="60"/>
      <c r="J51" s="76">
        <f>H49+I49</f>
        <v>20332210546.16</v>
      </c>
      <c r="K51" s="60"/>
      <c r="L51" s="60"/>
      <c r="M51" s="60"/>
      <c r="N51" s="60"/>
      <c r="O51" s="60"/>
      <c r="P51" s="60"/>
      <c r="Q51" s="60"/>
      <c r="R51" s="77">
        <f>R49+O49+G49+H49+I49</f>
        <v>227499359109.70996</v>
      </c>
      <c r="S51" s="60"/>
    </row>
    <row r="52" spans="1:19" x14ac:dyDescent="0.25">
      <c r="A52" s="60"/>
      <c r="B52" s="60"/>
      <c r="C52" s="78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7">
        <f>R51-Q49</f>
        <v>0</v>
      </c>
      <c r="S53" s="60"/>
    </row>
    <row r="54" spans="1:19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</row>
    <row r="55" spans="1:19" ht="21" x14ac:dyDescent="0.4">
      <c r="A55" s="79" t="s">
        <v>108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</row>
  </sheetData>
  <mergeCells count="22">
    <mergeCell ref="B49:C49"/>
    <mergeCell ref="G8:I8"/>
    <mergeCell ref="F8:F9"/>
    <mergeCell ref="E8:E9"/>
    <mergeCell ref="D8:D9"/>
    <mergeCell ref="C8:C9"/>
    <mergeCell ref="B8:B9"/>
    <mergeCell ref="A1:S1"/>
    <mergeCell ref="K8:K9"/>
    <mergeCell ref="O8:O9"/>
    <mergeCell ref="P8:P9"/>
    <mergeCell ref="A2:S2"/>
    <mergeCell ref="L8:L9"/>
    <mergeCell ref="A5:R5"/>
    <mergeCell ref="A8:A9"/>
    <mergeCell ref="S8:S9"/>
    <mergeCell ref="D6:R6"/>
    <mergeCell ref="J8:J9"/>
    <mergeCell ref="N8:N9"/>
    <mergeCell ref="Q8:Q9"/>
    <mergeCell ref="R8:R9"/>
    <mergeCell ref="M8:M9"/>
  </mergeCells>
  <phoneticPr fontId="2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8"/>
  <sheetViews>
    <sheetView workbookViewId="0">
      <selection activeCell="E7" sqref="E7"/>
    </sheetView>
  </sheetViews>
  <sheetFormatPr defaultRowHeight="13.2" x14ac:dyDescent="0.25"/>
  <cols>
    <col min="2" max="2" width="29" customWidth="1"/>
    <col min="4" max="4" width="24.33203125" customWidth="1"/>
    <col min="5" max="5" width="25.5546875" customWidth="1"/>
    <col min="6" max="6" width="23.44140625" customWidth="1"/>
    <col min="7" max="7" width="26.109375" customWidth="1"/>
    <col min="8" max="8" width="8.44140625" customWidth="1"/>
  </cols>
  <sheetData>
    <row r="1" spans="1:8" ht="30" customHeight="1" x14ac:dyDescent="0.45">
      <c r="A1" s="129" t="s">
        <v>116</v>
      </c>
      <c r="B1" s="129"/>
      <c r="C1" s="129"/>
      <c r="D1" s="129"/>
      <c r="E1" s="129"/>
      <c r="F1" s="129"/>
      <c r="G1" s="129"/>
      <c r="H1" s="129"/>
    </row>
    <row r="2" spans="1:8" ht="24.6" x14ac:dyDescent="0.4">
      <c r="A2" s="130" t="s">
        <v>117</v>
      </c>
      <c r="B2" s="131"/>
      <c r="C2" s="131"/>
      <c r="D2" s="131"/>
      <c r="E2" s="131"/>
      <c r="F2" s="131"/>
      <c r="G2" s="131"/>
      <c r="H2" s="132"/>
    </row>
    <row r="3" spans="1:8" ht="48" customHeight="1" x14ac:dyDescent="0.35">
      <c r="A3" s="133" t="s">
        <v>217</v>
      </c>
      <c r="B3" s="134"/>
      <c r="C3" s="134"/>
      <c r="D3" s="134"/>
      <c r="E3" s="134"/>
      <c r="F3" s="134"/>
      <c r="G3" s="134"/>
      <c r="H3" s="135"/>
    </row>
    <row r="4" spans="1:8" ht="18" x14ac:dyDescent="0.35">
      <c r="A4" s="82">
        <v>1</v>
      </c>
      <c r="B4" s="82">
        <v>2</v>
      </c>
      <c r="C4" s="82">
        <v>3</v>
      </c>
      <c r="D4" s="82">
        <v>4</v>
      </c>
      <c r="E4" s="82">
        <v>5</v>
      </c>
      <c r="F4" s="82">
        <v>6</v>
      </c>
      <c r="G4" s="84" t="s">
        <v>124</v>
      </c>
      <c r="H4" s="85"/>
    </row>
    <row r="5" spans="1:8" ht="71.25" customHeight="1" x14ac:dyDescent="0.35">
      <c r="A5" s="86" t="s">
        <v>0</v>
      </c>
      <c r="B5" s="86" t="s">
        <v>20</v>
      </c>
      <c r="C5" s="87" t="s">
        <v>1</v>
      </c>
      <c r="D5" s="95" t="s">
        <v>122</v>
      </c>
      <c r="E5" s="88" t="s">
        <v>125</v>
      </c>
      <c r="F5" s="95" t="s">
        <v>126</v>
      </c>
      <c r="G5" s="87" t="s">
        <v>127</v>
      </c>
      <c r="H5" s="86" t="s">
        <v>0</v>
      </c>
    </row>
    <row r="6" spans="1:8" ht="18" x14ac:dyDescent="0.35">
      <c r="A6" s="90"/>
      <c r="B6" s="90"/>
      <c r="C6" s="90"/>
      <c r="D6" s="57" t="s">
        <v>105</v>
      </c>
      <c r="E6" s="57" t="s">
        <v>105</v>
      </c>
      <c r="F6" s="57" t="s">
        <v>105</v>
      </c>
      <c r="G6" s="57" t="s">
        <v>105</v>
      </c>
      <c r="H6" s="90"/>
    </row>
    <row r="7" spans="1:8" ht="18" x14ac:dyDescent="0.35">
      <c r="A7" s="91">
        <v>1</v>
      </c>
      <c r="B7" s="90" t="s">
        <v>128</v>
      </c>
      <c r="C7" s="91">
        <v>17</v>
      </c>
      <c r="D7" s="100">
        <v>62559667.890000001</v>
      </c>
      <c r="E7" s="90">
        <v>5333760.42</v>
      </c>
      <c r="F7" s="90">
        <v>483253.48</v>
      </c>
      <c r="G7" s="90">
        <f t="shared" ref="G7:G22" si="0">D7+E7+F7</f>
        <v>68376681.790000007</v>
      </c>
      <c r="H7" s="92">
        <v>1</v>
      </c>
    </row>
    <row r="8" spans="1:8" ht="18" x14ac:dyDescent="0.35">
      <c r="A8" s="91">
        <v>2</v>
      </c>
      <c r="B8" s="90" t="s">
        <v>129</v>
      </c>
      <c r="C8" s="91">
        <v>21</v>
      </c>
      <c r="D8" s="100">
        <v>66552728.479999997</v>
      </c>
      <c r="E8" s="90">
        <v>5674203.8499999996</v>
      </c>
      <c r="F8" s="90">
        <v>514098.6</v>
      </c>
      <c r="G8" s="90">
        <f t="shared" si="0"/>
        <v>72741030.929999992</v>
      </c>
      <c r="H8" s="92">
        <v>2</v>
      </c>
    </row>
    <row r="9" spans="1:8" ht="18" x14ac:dyDescent="0.35">
      <c r="A9" s="91">
        <v>3</v>
      </c>
      <c r="B9" s="90" t="s">
        <v>130</v>
      </c>
      <c r="C9" s="91">
        <v>31</v>
      </c>
      <c r="D9" s="100">
        <v>67171197.75</v>
      </c>
      <c r="E9" s="90">
        <v>5726933.79</v>
      </c>
      <c r="F9" s="90">
        <v>518876.08</v>
      </c>
      <c r="G9" s="90">
        <f t="shared" si="0"/>
        <v>73417007.620000005</v>
      </c>
      <c r="H9" s="92">
        <v>3</v>
      </c>
    </row>
    <row r="10" spans="1:8" ht="18" x14ac:dyDescent="0.35">
      <c r="A10" s="91">
        <v>4</v>
      </c>
      <c r="B10" s="90" t="s">
        <v>131</v>
      </c>
      <c r="C10" s="91">
        <v>21</v>
      </c>
      <c r="D10" s="100">
        <v>66428049.780000001</v>
      </c>
      <c r="E10" s="90">
        <v>5663573.9000000004</v>
      </c>
      <c r="F10" s="90">
        <v>513135.5</v>
      </c>
      <c r="G10" s="90">
        <f t="shared" si="0"/>
        <v>72604759.180000007</v>
      </c>
      <c r="H10" s="92">
        <v>4</v>
      </c>
    </row>
    <row r="11" spans="1:8" ht="18" x14ac:dyDescent="0.35">
      <c r="A11" s="91">
        <v>5</v>
      </c>
      <c r="B11" s="90" t="s">
        <v>132</v>
      </c>
      <c r="C11" s="91">
        <v>20</v>
      </c>
      <c r="D11" s="100">
        <v>79915169.480000004</v>
      </c>
      <c r="E11" s="90">
        <v>6813469.1600000001</v>
      </c>
      <c r="F11" s="90">
        <v>617319.19999999995</v>
      </c>
      <c r="G11" s="90">
        <f t="shared" si="0"/>
        <v>87345957.840000004</v>
      </c>
      <c r="H11" s="92">
        <v>5</v>
      </c>
    </row>
    <row r="12" spans="1:8" ht="18" x14ac:dyDescent="0.35">
      <c r="A12" s="91">
        <v>6</v>
      </c>
      <c r="B12" s="90" t="s">
        <v>133</v>
      </c>
      <c r="C12" s="91">
        <v>8</v>
      </c>
      <c r="D12" s="100">
        <v>59114510.950000003</v>
      </c>
      <c r="E12" s="90">
        <v>5040030.57</v>
      </c>
      <c r="F12" s="90">
        <v>456640.75</v>
      </c>
      <c r="G12" s="90">
        <f t="shared" si="0"/>
        <v>64611182.270000003</v>
      </c>
      <c r="H12" s="92">
        <v>6</v>
      </c>
    </row>
    <row r="13" spans="1:8" ht="18" x14ac:dyDescent="0.35">
      <c r="A13" s="91">
        <v>7</v>
      </c>
      <c r="B13" s="90" t="s">
        <v>134</v>
      </c>
      <c r="C13" s="91">
        <v>23</v>
      </c>
      <c r="D13" s="100">
        <f>74925637.43/2</f>
        <v>37462818.715000004</v>
      </c>
      <c r="E13" s="90">
        <v>3194033.89</v>
      </c>
      <c r="F13" s="90">
        <v>289388.33</v>
      </c>
      <c r="G13" s="90">
        <f t="shared" si="0"/>
        <v>40946240.935000002</v>
      </c>
      <c r="H13" s="92">
        <v>7</v>
      </c>
    </row>
    <row r="14" spans="1:8" ht="18" x14ac:dyDescent="0.35">
      <c r="A14" s="91">
        <v>8</v>
      </c>
      <c r="B14" s="90" t="s">
        <v>135</v>
      </c>
      <c r="C14" s="91">
        <v>27</v>
      </c>
      <c r="D14" s="100">
        <v>83006868.379999995</v>
      </c>
      <c r="E14" s="90">
        <v>7077063.5999999996</v>
      </c>
      <c r="F14" s="90">
        <v>641201.59</v>
      </c>
      <c r="G14" s="90">
        <f t="shared" si="0"/>
        <v>90725133.569999993</v>
      </c>
      <c r="H14" s="92">
        <v>8</v>
      </c>
    </row>
    <row r="15" spans="1:8" ht="18" x14ac:dyDescent="0.35">
      <c r="A15" s="91">
        <v>9</v>
      </c>
      <c r="B15" s="96" t="s">
        <v>136</v>
      </c>
      <c r="C15" s="91">
        <v>18</v>
      </c>
      <c r="D15" s="100">
        <v>67182653.219999999</v>
      </c>
      <c r="E15" s="90">
        <v>5727910.46</v>
      </c>
      <c r="F15" s="90">
        <v>518964.57</v>
      </c>
      <c r="G15" s="90">
        <f t="shared" si="0"/>
        <v>73429528.249999985</v>
      </c>
      <c r="H15" s="92">
        <v>9</v>
      </c>
    </row>
    <row r="16" spans="1:8" ht="18" x14ac:dyDescent="0.35">
      <c r="A16" s="91">
        <v>10</v>
      </c>
      <c r="B16" s="90" t="s">
        <v>137</v>
      </c>
      <c r="C16" s="91">
        <v>25</v>
      </c>
      <c r="D16" s="100">
        <v>67835733.739999995</v>
      </c>
      <c r="E16" s="90">
        <v>5783591.3099999996</v>
      </c>
      <c r="F16" s="90">
        <v>524009.41</v>
      </c>
      <c r="G16" s="90">
        <f t="shared" si="0"/>
        <v>74143334.459999993</v>
      </c>
      <c r="H16" s="92">
        <v>10</v>
      </c>
    </row>
    <row r="17" spans="1:8" ht="18" x14ac:dyDescent="0.35">
      <c r="A17" s="91">
        <v>11</v>
      </c>
      <c r="B17" s="90" t="s">
        <v>138</v>
      </c>
      <c r="C17" s="91">
        <v>13</v>
      </c>
      <c r="D17" s="100">
        <v>59770864.090000004</v>
      </c>
      <c r="E17" s="90">
        <v>5095990.43</v>
      </c>
      <c r="F17" s="90">
        <v>461710.86</v>
      </c>
      <c r="G17" s="90">
        <f t="shared" si="0"/>
        <v>65328565.380000003</v>
      </c>
      <c r="H17" s="92">
        <v>11</v>
      </c>
    </row>
    <row r="18" spans="1:8" ht="18" x14ac:dyDescent="0.35">
      <c r="A18" s="91">
        <v>12</v>
      </c>
      <c r="B18" s="90" t="s">
        <v>139</v>
      </c>
      <c r="C18" s="91">
        <v>18</v>
      </c>
      <c r="D18" s="100">
        <v>62470132.409999996</v>
      </c>
      <c r="E18" s="90">
        <v>5326126.7300000004</v>
      </c>
      <c r="F18" s="90">
        <v>482561.85</v>
      </c>
      <c r="G18" s="90">
        <f t="shared" si="0"/>
        <v>68278820.989999995</v>
      </c>
      <c r="H18" s="92">
        <v>12</v>
      </c>
    </row>
    <row r="19" spans="1:8" ht="18" x14ac:dyDescent="0.35">
      <c r="A19" s="91">
        <v>13</v>
      </c>
      <c r="B19" s="90" t="s">
        <v>140</v>
      </c>
      <c r="C19" s="91">
        <v>16</v>
      </c>
      <c r="D19" s="100">
        <v>59737135.740000002</v>
      </c>
      <c r="E19" s="90">
        <v>5093114.79</v>
      </c>
      <c r="F19" s="90">
        <v>461450.32</v>
      </c>
      <c r="G19" s="90">
        <f t="shared" si="0"/>
        <v>65291700.850000001</v>
      </c>
      <c r="H19" s="92">
        <v>13</v>
      </c>
    </row>
    <row r="20" spans="1:8" ht="18" x14ac:dyDescent="0.35">
      <c r="A20" s="91">
        <v>14</v>
      </c>
      <c r="B20" s="90" t="s">
        <v>141</v>
      </c>
      <c r="C20" s="91">
        <v>17</v>
      </c>
      <c r="D20" s="100">
        <v>67188451.540000007</v>
      </c>
      <c r="E20" s="90">
        <v>5728404.8200000003</v>
      </c>
      <c r="F20" s="90">
        <v>519009.36</v>
      </c>
      <c r="G20" s="90">
        <f t="shared" si="0"/>
        <v>73435865.720000014</v>
      </c>
      <c r="H20" s="92">
        <v>14</v>
      </c>
    </row>
    <row r="21" spans="1:8" ht="18" x14ac:dyDescent="0.35">
      <c r="A21" s="91">
        <v>15</v>
      </c>
      <c r="B21" s="90" t="s">
        <v>142</v>
      </c>
      <c r="C21" s="91">
        <v>11</v>
      </c>
      <c r="D21" s="100">
        <v>62929363.899999999</v>
      </c>
      <c r="E21" s="90">
        <v>5365280.24</v>
      </c>
      <c r="F21" s="90">
        <v>486109.27</v>
      </c>
      <c r="G21" s="90">
        <f t="shared" si="0"/>
        <v>68780753.409999996</v>
      </c>
      <c r="H21" s="92">
        <v>15</v>
      </c>
    </row>
    <row r="22" spans="1:8" ht="18" x14ac:dyDescent="0.35">
      <c r="A22" s="91">
        <v>16</v>
      </c>
      <c r="B22" s="90" t="s">
        <v>143</v>
      </c>
      <c r="C22" s="91">
        <v>27</v>
      </c>
      <c r="D22" s="100">
        <v>69462966.799999997</v>
      </c>
      <c r="E22" s="90">
        <v>5922327.2000000002</v>
      </c>
      <c r="F22" s="90">
        <v>536579.27</v>
      </c>
      <c r="G22" s="90">
        <f t="shared" si="0"/>
        <v>75921873.269999996</v>
      </c>
      <c r="H22" s="92">
        <v>16</v>
      </c>
    </row>
    <row r="23" spans="1:8" ht="18" x14ac:dyDescent="0.35">
      <c r="A23" s="91">
        <v>17</v>
      </c>
      <c r="B23" s="90" t="s">
        <v>144</v>
      </c>
      <c r="C23" s="91">
        <v>27</v>
      </c>
      <c r="D23" s="100">
        <v>74713864.469999999</v>
      </c>
      <c r="E23" s="90">
        <v>6370012.2800000003</v>
      </c>
      <c r="F23" s="90">
        <v>577140.78</v>
      </c>
      <c r="G23" s="90">
        <f t="shared" ref="G23:G41" si="1">D23+E23+F23</f>
        <v>81661017.530000001</v>
      </c>
      <c r="H23" s="92">
        <v>17</v>
      </c>
    </row>
    <row r="24" spans="1:8" ht="18" x14ac:dyDescent="0.35">
      <c r="A24" s="91">
        <v>18</v>
      </c>
      <c r="B24" s="90" t="s">
        <v>145</v>
      </c>
      <c r="C24" s="91">
        <v>23</v>
      </c>
      <c r="D24" s="100">
        <v>87535982.230000004</v>
      </c>
      <c r="E24" s="90">
        <v>7463210.29</v>
      </c>
      <c r="F24" s="90">
        <v>676187.55</v>
      </c>
      <c r="G24" s="90">
        <f t="shared" si="1"/>
        <v>95675380.070000008</v>
      </c>
      <c r="H24" s="92">
        <v>18</v>
      </c>
    </row>
    <row r="25" spans="1:8" ht="18" x14ac:dyDescent="0.35">
      <c r="A25" s="91">
        <v>19</v>
      </c>
      <c r="B25" s="90" t="s">
        <v>146</v>
      </c>
      <c r="C25" s="91">
        <v>44</v>
      </c>
      <c r="D25" s="100">
        <v>105972051.86</v>
      </c>
      <c r="E25" s="90">
        <v>9035046.9299999997</v>
      </c>
      <c r="F25" s="90">
        <v>818600.31</v>
      </c>
      <c r="G25" s="90">
        <f t="shared" si="1"/>
        <v>115825699.09999999</v>
      </c>
      <c r="H25" s="92">
        <v>19</v>
      </c>
    </row>
    <row r="26" spans="1:8" ht="18" x14ac:dyDescent="0.35">
      <c r="A26" s="91">
        <v>20</v>
      </c>
      <c r="B26" s="90" t="s">
        <v>147</v>
      </c>
      <c r="C26" s="91">
        <v>34</v>
      </c>
      <c r="D26" s="100">
        <v>82125324.230000004</v>
      </c>
      <c r="E26" s="90">
        <v>7001904.2300000004</v>
      </c>
      <c r="F26" s="90">
        <v>634391.93999999994</v>
      </c>
      <c r="G26" s="90">
        <f t="shared" si="1"/>
        <v>89761620.400000006</v>
      </c>
      <c r="H26" s="92">
        <v>20</v>
      </c>
    </row>
    <row r="27" spans="1:8" ht="18" x14ac:dyDescent="0.35">
      <c r="A27" s="91">
        <v>21</v>
      </c>
      <c r="B27" s="90" t="s">
        <v>148</v>
      </c>
      <c r="C27" s="91">
        <v>21</v>
      </c>
      <c r="D27" s="100">
        <f>70546063.24/2</f>
        <v>35273031.619999997</v>
      </c>
      <c r="E27" s="90">
        <v>3007335.335</v>
      </c>
      <c r="F27" s="90">
        <v>272472.92</v>
      </c>
      <c r="G27" s="90">
        <f t="shared" si="1"/>
        <v>38552839.875</v>
      </c>
      <c r="H27" s="92">
        <v>21</v>
      </c>
    </row>
    <row r="28" spans="1:8" ht="18" x14ac:dyDescent="0.35">
      <c r="A28" s="91">
        <v>22</v>
      </c>
      <c r="B28" s="90" t="s">
        <v>149</v>
      </c>
      <c r="C28" s="91">
        <v>21</v>
      </c>
      <c r="D28" s="100">
        <f>73840431.04/2</f>
        <v>36920215.520000003</v>
      </c>
      <c r="E28" s="90">
        <v>3147772.21</v>
      </c>
      <c r="F28" s="90">
        <v>285196.89</v>
      </c>
      <c r="G28" s="90">
        <f t="shared" si="1"/>
        <v>40353184.620000005</v>
      </c>
      <c r="H28" s="92">
        <v>22</v>
      </c>
    </row>
    <row r="29" spans="1:8" ht="18" x14ac:dyDescent="0.35">
      <c r="A29" s="91">
        <v>23</v>
      </c>
      <c r="B29" s="90" t="s">
        <v>150</v>
      </c>
      <c r="C29" s="91">
        <v>16</v>
      </c>
      <c r="D29" s="100">
        <f>59470804.5/2</f>
        <v>29735402.25</v>
      </c>
      <c r="E29" s="90">
        <v>2535203.86</v>
      </c>
      <c r="F29" s="90">
        <v>229696.5</v>
      </c>
      <c r="G29" s="90">
        <f t="shared" si="1"/>
        <v>32500302.609999999</v>
      </c>
      <c r="H29" s="92">
        <v>23</v>
      </c>
    </row>
    <row r="30" spans="1:8" ht="18" x14ac:dyDescent="0.35">
      <c r="A30" s="91">
        <v>24</v>
      </c>
      <c r="B30" s="90" t="s">
        <v>151</v>
      </c>
      <c r="C30" s="91">
        <v>20</v>
      </c>
      <c r="D30" s="100">
        <v>89500272.510000005</v>
      </c>
      <c r="E30" s="90">
        <v>7630683.2599999998</v>
      </c>
      <c r="F30" s="90">
        <v>691361.06</v>
      </c>
      <c r="G30" s="90">
        <f t="shared" si="1"/>
        <v>97822316.830000013</v>
      </c>
      <c r="H30" s="92">
        <v>24</v>
      </c>
    </row>
    <row r="31" spans="1:8" ht="18" x14ac:dyDescent="0.35">
      <c r="A31" s="91">
        <v>25</v>
      </c>
      <c r="B31" s="90" t="s">
        <v>152</v>
      </c>
      <c r="C31" s="91">
        <v>13</v>
      </c>
      <c r="D31" s="100">
        <v>61611881.25</v>
      </c>
      <c r="E31" s="90">
        <v>5252953.29</v>
      </c>
      <c r="F31" s="90">
        <v>475932.13</v>
      </c>
      <c r="G31" s="90">
        <f t="shared" si="1"/>
        <v>67340766.670000002</v>
      </c>
      <c r="H31" s="92">
        <v>25</v>
      </c>
    </row>
    <row r="32" spans="1:8" ht="18" x14ac:dyDescent="0.35">
      <c r="A32" s="91">
        <v>26</v>
      </c>
      <c r="B32" s="90" t="s">
        <v>153</v>
      </c>
      <c r="C32" s="91">
        <v>25</v>
      </c>
      <c r="D32" s="100">
        <f>79137718.26/2</f>
        <v>39568859.130000003</v>
      </c>
      <c r="E32" s="90">
        <v>3373592.31</v>
      </c>
      <c r="F32" s="90">
        <v>305656.82</v>
      </c>
      <c r="G32" s="90">
        <f t="shared" si="1"/>
        <v>43248108.260000005</v>
      </c>
      <c r="H32" s="92">
        <v>26</v>
      </c>
    </row>
    <row r="33" spans="1:8" ht="18" x14ac:dyDescent="0.35">
      <c r="A33" s="91">
        <v>27</v>
      </c>
      <c r="B33" s="90" t="s">
        <v>154</v>
      </c>
      <c r="C33" s="91">
        <v>20</v>
      </c>
      <c r="D33" s="100">
        <v>62069472.799999997</v>
      </c>
      <c r="E33" s="90">
        <v>5291966.9800000004</v>
      </c>
      <c r="F33" s="90">
        <v>479466.88</v>
      </c>
      <c r="G33" s="90">
        <f t="shared" si="1"/>
        <v>67840906.659999996</v>
      </c>
      <c r="H33" s="92">
        <v>27</v>
      </c>
    </row>
    <row r="34" spans="1:8" ht="18" x14ac:dyDescent="0.35">
      <c r="A34" s="91">
        <v>28</v>
      </c>
      <c r="B34" s="90" t="s">
        <v>155</v>
      </c>
      <c r="C34" s="91">
        <v>18</v>
      </c>
      <c r="D34" s="100">
        <v>62192439.380000003</v>
      </c>
      <c r="E34" s="90">
        <v>5302450.96</v>
      </c>
      <c r="F34" s="90">
        <v>480416.76</v>
      </c>
      <c r="G34" s="90">
        <f t="shared" si="1"/>
        <v>67975307.100000009</v>
      </c>
      <c r="H34" s="92">
        <v>28</v>
      </c>
    </row>
    <row r="35" spans="1:8" ht="18" x14ac:dyDescent="0.35">
      <c r="A35" s="91">
        <v>29</v>
      </c>
      <c r="B35" s="90" t="s">
        <v>156</v>
      </c>
      <c r="C35" s="91">
        <v>30</v>
      </c>
      <c r="D35" s="100">
        <v>60931615.990000002</v>
      </c>
      <c r="E35" s="90">
        <v>5194954.71</v>
      </c>
      <c r="F35" s="90">
        <v>470677.3</v>
      </c>
      <c r="G35" s="90">
        <f t="shared" si="1"/>
        <v>66597248</v>
      </c>
      <c r="H35" s="92">
        <v>29</v>
      </c>
    </row>
    <row r="36" spans="1:8" ht="18" x14ac:dyDescent="0.35">
      <c r="A36" s="91">
        <v>30</v>
      </c>
      <c r="B36" s="90" t="s">
        <v>157</v>
      </c>
      <c r="C36" s="91">
        <v>33</v>
      </c>
      <c r="D36" s="100">
        <v>74933915.819999993</v>
      </c>
      <c r="E36" s="90">
        <v>6388773.5899999999</v>
      </c>
      <c r="F36" s="90">
        <v>578840.6</v>
      </c>
      <c r="G36" s="90">
        <f t="shared" si="1"/>
        <v>81901530.00999999</v>
      </c>
      <c r="H36" s="92">
        <v>30</v>
      </c>
    </row>
    <row r="37" spans="1:8" ht="18" x14ac:dyDescent="0.35">
      <c r="A37" s="91">
        <v>31</v>
      </c>
      <c r="B37" s="90" t="s">
        <v>158</v>
      </c>
      <c r="C37" s="91">
        <v>17</v>
      </c>
      <c r="D37" s="100">
        <f>69765944.99/2</f>
        <v>34882972.494999997</v>
      </c>
      <c r="E37" s="90">
        <v>2974079.38</v>
      </c>
      <c r="F37" s="90">
        <v>269459.84000000003</v>
      </c>
      <c r="G37" s="90">
        <f t="shared" si="1"/>
        <v>38126511.715000004</v>
      </c>
      <c r="H37" s="92">
        <v>31</v>
      </c>
    </row>
    <row r="38" spans="1:8" ht="18" x14ac:dyDescent="0.35">
      <c r="A38" s="91">
        <v>32</v>
      </c>
      <c r="B38" s="90" t="s">
        <v>159</v>
      </c>
      <c r="C38" s="91">
        <v>23</v>
      </c>
      <c r="D38" s="100">
        <v>72051712.920000002</v>
      </c>
      <c r="E38" s="90">
        <v>6143040.5099999998</v>
      </c>
      <c r="F38" s="90">
        <v>556576.51</v>
      </c>
      <c r="G38" s="90">
        <f t="shared" si="1"/>
        <v>78751329.940000013</v>
      </c>
      <c r="H38" s="92">
        <v>32</v>
      </c>
    </row>
    <row r="39" spans="1:8" ht="18" x14ac:dyDescent="0.35">
      <c r="A39" s="91">
        <v>33</v>
      </c>
      <c r="B39" s="90" t="s">
        <v>160</v>
      </c>
      <c r="C39" s="91">
        <v>23</v>
      </c>
      <c r="D39" s="100">
        <v>73630309.560000002</v>
      </c>
      <c r="E39" s="90">
        <v>6277629.7199999997</v>
      </c>
      <c r="F39" s="90">
        <v>568770.66</v>
      </c>
      <c r="G39" s="90">
        <f t="shared" si="1"/>
        <v>80476709.939999998</v>
      </c>
      <c r="H39" s="92">
        <v>33</v>
      </c>
    </row>
    <row r="40" spans="1:8" ht="18" x14ac:dyDescent="0.35">
      <c r="A40" s="91">
        <v>34</v>
      </c>
      <c r="B40" s="90" t="s">
        <v>161</v>
      </c>
      <c r="C40" s="91">
        <v>16</v>
      </c>
      <c r="D40" s="100">
        <v>64355966.890000001</v>
      </c>
      <c r="E40" s="90">
        <v>5486910.6600000001</v>
      </c>
      <c r="F40" s="90">
        <v>497129.32</v>
      </c>
      <c r="G40" s="90">
        <f t="shared" si="1"/>
        <v>70340006.86999999</v>
      </c>
      <c r="H40" s="92">
        <v>34</v>
      </c>
    </row>
    <row r="41" spans="1:8" ht="18" x14ac:dyDescent="0.35">
      <c r="A41" s="91">
        <v>35</v>
      </c>
      <c r="B41" s="90" t="s">
        <v>162</v>
      </c>
      <c r="C41" s="91">
        <v>17</v>
      </c>
      <c r="D41" s="100">
        <v>66342740.530000001</v>
      </c>
      <c r="E41" s="90">
        <v>5656300.54</v>
      </c>
      <c r="F41" s="90">
        <v>512476.51</v>
      </c>
      <c r="G41" s="90">
        <f t="shared" si="1"/>
        <v>72511517.580000013</v>
      </c>
      <c r="H41" s="92">
        <v>35</v>
      </c>
    </row>
    <row r="42" spans="1:8" ht="18" x14ac:dyDescent="0.35">
      <c r="A42" s="91">
        <v>36</v>
      </c>
      <c r="B42" s="90" t="s">
        <v>163</v>
      </c>
      <c r="C42" s="91">
        <v>14</v>
      </c>
      <c r="D42" s="100">
        <v>66484031.189999998</v>
      </c>
      <c r="E42" s="90">
        <v>5668346.8099999996</v>
      </c>
      <c r="F42" s="90">
        <v>513567.94</v>
      </c>
      <c r="G42" s="90">
        <f>D42+E42+F42</f>
        <v>72665945.939999998</v>
      </c>
      <c r="H42" s="92">
        <v>36</v>
      </c>
    </row>
    <row r="43" spans="1:8" ht="18" x14ac:dyDescent="0.35">
      <c r="A43" s="91">
        <v>37</v>
      </c>
      <c r="B43" s="90" t="s">
        <v>209</v>
      </c>
      <c r="C43" s="91"/>
      <c r="D43" s="90">
        <f>D13+D27+D28+D29+D32+D37</f>
        <v>213843299.73000002</v>
      </c>
      <c r="E43" s="90">
        <f>E13+E27+E28+E29+E32+E37</f>
        <v>18232016.984999999</v>
      </c>
      <c r="F43" s="90">
        <f>F13+F27+F28+F29+F32+F37</f>
        <v>1651871.3000000003</v>
      </c>
      <c r="G43" s="90">
        <f>D43+E43+F43</f>
        <v>233727188.01500005</v>
      </c>
      <c r="H43" s="92"/>
    </row>
    <row r="44" spans="1:8" ht="18" x14ac:dyDescent="0.35">
      <c r="A44" s="91"/>
      <c r="B44" s="93" t="s">
        <v>123</v>
      </c>
      <c r="C44" s="90"/>
      <c r="D44" s="94">
        <f t="shared" ref="D44:E44" si="2">SUM(D7:D43)</f>
        <v>2533463675.2399998</v>
      </c>
      <c r="E44" s="94">
        <f t="shared" si="2"/>
        <v>215999999.99999994</v>
      </c>
      <c r="F44" s="94">
        <f>SUM(F7:F43)</f>
        <v>19570198.960000005</v>
      </c>
      <c r="G44" s="94">
        <f>SUM(G7:G43)</f>
        <v>2769033874.1999998</v>
      </c>
      <c r="H44" s="92"/>
    </row>
    <row r="45" spans="1:8" ht="18" x14ac:dyDescent="0.35">
      <c r="A45" s="136"/>
      <c r="B45" s="137"/>
      <c r="C45" s="137"/>
      <c r="D45" s="137"/>
      <c r="E45" s="137"/>
      <c r="F45" s="137"/>
      <c r="G45" s="137"/>
      <c r="H45" s="138"/>
    </row>
    <row r="48" spans="1:8" x14ac:dyDescent="0.25">
      <c r="G48" s="4"/>
    </row>
  </sheetData>
  <mergeCells count="4">
    <mergeCell ref="A1:H1"/>
    <mergeCell ref="A2:H2"/>
    <mergeCell ref="A3:H3"/>
    <mergeCell ref="A45:H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82C3-1045-4C4A-BA6A-71FA92B770E5}">
  <dimension ref="A1:N56"/>
  <sheetViews>
    <sheetView workbookViewId="0">
      <selection activeCell="E5" sqref="E5"/>
    </sheetView>
  </sheetViews>
  <sheetFormatPr defaultRowHeight="13.2" x14ac:dyDescent="0.25"/>
  <cols>
    <col min="2" max="2" width="24.109375" customWidth="1"/>
    <col min="4" max="4" width="25.5546875" customWidth="1"/>
    <col min="5" max="5" width="24" customWidth="1"/>
    <col min="6" max="6" width="25.5546875" customWidth="1"/>
    <col min="7" max="8" width="23.44140625" customWidth="1"/>
    <col min="9" max="9" width="25" customWidth="1"/>
    <col min="10" max="10" width="30.33203125" customWidth="1"/>
    <col min="11" max="11" width="8.44140625" customWidth="1"/>
    <col min="14" max="14" width="16.5546875" bestFit="1" customWidth="1"/>
    <col min="256" max="256" width="24.109375" customWidth="1"/>
    <col min="258" max="258" width="25.5546875" customWidth="1"/>
    <col min="259" max="259" width="24" customWidth="1"/>
    <col min="260" max="260" width="25.5546875" customWidth="1"/>
    <col min="261" max="264" width="23.44140625" customWidth="1"/>
    <col min="265" max="265" width="25" customWidth="1"/>
    <col min="266" max="266" width="30.33203125" customWidth="1"/>
    <col min="267" max="267" width="8.44140625" customWidth="1"/>
    <col min="270" max="270" width="16.5546875" bestFit="1" customWidth="1"/>
    <col min="512" max="512" width="24.109375" customWidth="1"/>
    <col min="514" max="514" width="25.5546875" customWidth="1"/>
    <col min="515" max="515" width="24" customWidth="1"/>
    <col min="516" max="516" width="25.5546875" customWidth="1"/>
    <col min="517" max="520" width="23.44140625" customWidth="1"/>
    <col min="521" max="521" width="25" customWidth="1"/>
    <col min="522" max="522" width="30.33203125" customWidth="1"/>
    <col min="523" max="523" width="8.44140625" customWidth="1"/>
    <col min="526" max="526" width="16.5546875" bestFit="1" customWidth="1"/>
    <col min="768" max="768" width="24.109375" customWidth="1"/>
    <col min="770" max="770" width="25.5546875" customWidth="1"/>
    <col min="771" max="771" width="24" customWidth="1"/>
    <col min="772" max="772" width="25.5546875" customWidth="1"/>
    <col min="773" max="776" width="23.44140625" customWidth="1"/>
    <col min="777" max="777" width="25" customWidth="1"/>
    <col min="778" max="778" width="30.33203125" customWidth="1"/>
    <col min="779" max="779" width="8.44140625" customWidth="1"/>
    <col min="782" max="782" width="16.5546875" bestFit="1" customWidth="1"/>
    <col min="1024" max="1024" width="24.109375" customWidth="1"/>
    <col min="1026" max="1026" width="25.5546875" customWidth="1"/>
    <col min="1027" max="1027" width="24" customWidth="1"/>
    <col min="1028" max="1028" width="25.5546875" customWidth="1"/>
    <col min="1029" max="1032" width="23.44140625" customWidth="1"/>
    <col min="1033" max="1033" width="25" customWidth="1"/>
    <col min="1034" max="1034" width="30.33203125" customWidth="1"/>
    <col min="1035" max="1035" width="8.44140625" customWidth="1"/>
    <col min="1038" max="1038" width="16.5546875" bestFit="1" customWidth="1"/>
    <col min="1280" max="1280" width="24.109375" customWidth="1"/>
    <col min="1282" max="1282" width="25.5546875" customWidth="1"/>
    <col min="1283" max="1283" width="24" customWidth="1"/>
    <col min="1284" max="1284" width="25.5546875" customWidth="1"/>
    <col min="1285" max="1288" width="23.44140625" customWidth="1"/>
    <col min="1289" max="1289" width="25" customWidth="1"/>
    <col min="1290" max="1290" width="30.33203125" customWidth="1"/>
    <col min="1291" max="1291" width="8.44140625" customWidth="1"/>
    <col min="1294" max="1294" width="16.5546875" bestFit="1" customWidth="1"/>
    <col min="1536" max="1536" width="24.109375" customWidth="1"/>
    <col min="1538" max="1538" width="25.5546875" customWidth="1"/>
    <col min="1539" max="1539" width="24" customWidth="1"/>
    <col min="1540" max="1540" width="25.5546875" customWidth="1"/>
    <col min="1541" max="1544" width="23.44140625" customWidth="1"/>
    <col min="1545" max="1545" width="25" customWidth="1"/>
    <col min="1546" max="1546" width="30.33203125" customWidth="1"/>
    <col min="1547" max="1547" width="8.44140625" customWidth="1"/>
    <col min="1550" max="1550" width="16.5546875" bestFit="1" customWidth="1"/>
    <col min="1792" max="1792" width="24.109375" customWidth="1"/>
    <col min="1794" max="1794" width="25.5546875" customWidth="1"/>
    <col min="1795" max="1795" width="24" customWidth="1"/>
    <col min="1796" max="1796" width="25.5546875" customWidth="1"/>
    <col min="1797" max="1800" width="23.44140625" customWidth="1"/>
    <col min="1801" max="1801" width="25" customWidth="1"/>
    <col min="1802" max="1802" width="30.33203125" customWidth="1"/>
    <col min="1803" max="1803" width="8.44140625" customWidth="1"/>
    <col min="1806" max="1806" width="16.5546875" bestFit="1" customWidth="1"/>
    <col min="2048" max="2048" width="24.109375" customWidth="1"/>
    <col min="2050" max="2050" width="25.5546875" customWidth="1"/>
    <col min="2051" max="2051" width="24" customWidth="1"/>
    <col min="2052" max="2052" width="25.5546875" customWidth="1"/>
    <col min="2053" max="2056" width="23.44140625" customWidth="1"/>
    <col min="2057" max="2057" width="25" customWidth="1"/>
    <col min="2058" max="2058" width="30.33203125" customWidth="1"/>
    <col min="2059" max="2059" width="8.44140625" customWidth="1"/>
    <col min="2062" max="2062" width="16.5546875" bestFit="1" customWidth="1"/>
    <col min="2304" max="2304" width="24.109375" customWidth="1"/>
    <col min="2306" max="2306" width="25.5546875" customWidth="1"/>
    <col min="2307" max="2307" width="24" customWidth="1"/>
    <col min="2308" max="2308" width="25.5546875" customWidth="1"/>
    <col min="2309" max="2312" width="23.44140625" customWidth="1"/>
    <col min="2313" max="2313" width="25" customWidth="1"/>
    <col min="2314" max="2314" width="30.33203125" customWidth="1"/>
    <col min="2315" max="2315" width="8.44140625" customWidth="1"/>
    <col min="2318" max="2318" width="16.5546875" bestFit="1" customWidth="1"/>
    <col min="2560" max="2560" width="24.109375" customWidth="1"/>
    <col min="2562" max="2562" width="25.5546875" customWidth="1"/>
    <col min="2563" max="2563" width="24" customWidth="1"/>
    <col min="2564" max="2564" width="25.5546875" customWidth="1"/>
    <col min="2565" max="2568" width="23.44140625" customWidth="1"/>
    <col min="2569" max="2569" width="25" customWidth="1"/>
    <col min="2570" max="2570" width="30.33203125" customWidth="1"/>
    <col min="2571" max="2571" width="8.44140625" customWidth="1"/>
    <col min="2574" max="2574" width="16.5546875" bestFit="1" customWidth="1"/>
    <col min="2816" max="2816" width="24.109375" customWidth="1"/>
    <col min="2818" max="2818" width="25.5546875" customWidth="1"/>
    <col min="2819" max="2819" width="24" customWidth="1"/>
    <col min="2820" max="2820" width="25.5546875" customWidth="1"/>
    <col min="2821" max="2824" width="23.44140625" customWidth="1"/>
    <col min="2825" max="2825" width="25" customWidth="1"/>
    <col min="2826" max="2826" width="30.33203125" customWidth="1"/>
    <col min="2827" max="2827" width="8.44140625" customWidth="1"/>
    <col min="2830" max="2830" width="16.5546875" bestFit="1" customWidth="1"/>
    <col min="3072" max="3072" width="24.109375" customWidth="1"/>
    <col min="3074" max="3074" width="25.5546875" customWidth="1"/>
    <col min="3075" max="3075" width="24" customWidth="1"/>
    <col min="3076" max="3076" width="25.5546875" customWidth="1"/>
    <col min="3077" max="3080" width="23.44140625" customWidth="1"/>
    <col min="3081" max="3081" width="25" customWidth="1"/>
    <col min="3082" max="3082" width="30.33203125" customWidth="1"/>
    <col min="3083" max="3083" width="8.44140625" customWidth="1"/>
    <col min="3086" max="3086" width="16.5546875" bestFit="1" customWidth="1"/>
    <col min="3328" max="3328" width="24.109375" customWidth="1"/>
    <col min="3330" max="3330" width="25.5546875" customWidth="1"/>
    <col min="3331" max="3331" width="24" customWidth="1"/>
    <col min="3332" max="3332" width="25.5546875" customWidth="1"/>
    <col min="3333" max="3336" width="23.44140625" customWidth="1"/>
    <col min="3337" max="3337" width="25" customWidth="1"/>
    <col min="3338" max="3338" width="30.33203125" customWidth="1"/>
    <col min="3339" max="3339" width="8.44140625" customWidth="1"/>
    <col min="3342" max="3342" width="16.5546875" bestFit="1" customWidth="1"/>
    <col min="3584" max="3584" width="24.109375" customWidth="1"/>
    <col min="3586" max="3586" width="25.5546875" customWidth="1"/>
    <col min="3587" max="3587" width="24" customWidth="1"/>
    <col min="3588" max="3588" width="25.5546875" customWidth="1"/>
    <col min="3589" max="3592" width="23.44140625" customWidth="1"/>
    <col min="3593" max="3593" width="25" customWidth="1"/>
    <col min="3594" max="3594" width="30.33203125" customWidth="1"/>
    <col min="3595" max="3595" width="8.44140625" customWidth="1"/>
    <col min="3598" max="3598" width="16.5546875" bestFit="1" customWidth="1"/>
    <col min="3840" max="3840" width="24.109375" customWidth="1"/>
    <col min="3842" max="3842" width="25.5546875" customWidth="1"/>
    <col min="3843" max="3843" width="24" customWidth="1"/>
    <col min="3844" max="3844" width="25.5546875" customWidth="1"/>
    <col min="3845" max="3848" width="23.44140625" customWidth="1"/>
    <col min="3849" max="3849" width="25" customWidth="1"/>
    <col min="3850" max="3850" width="30.33203125" customWidth="1"/>
    <col min="3851" max="3851" width="8.44140625" customWidth="1"/>
    <col min="3854" max="3854" width="16.5546875" bestFit="1" customWidth="1"/>
    <col min="4096" max="4096" width="24.109375" customWidth="1"/>
    <col min="4098" max="4098" width="25.5546875" customWidth="1"/>
    <col min="4099" max="4099" width="24" customWidth="1"/>
    <col min="4100" max="4100" width="25.5546875" customWidth="1"/>
    <col min="4101" max="4104" width="23.44140625" customWidth="1"/>
    <col min="4105" max="4105" width="25" customWidth="1"/>
    <col min="4106" max="4106" width="30.33203125" customWidth="1"/>
    <col min="4107" max="4107" width="8.44140625" customWidth="1"/>
    <col min="4110" max="4110" width="16.5546875" bestFit="1" customWidth="1"/>
    <col min="4352" max="4352" width="24.109375" customWidth="1"/>
    <col min="4354" max="4354" width="25.5546875" customWidth="1"/>
    <col min="4355" max="4355" width="24" customWidth="1"/>
    <col min="4356" max="4356" width="25.5546875" customWidth="1"/>
    <col min="4357" max="4360" width="23.44140625" customWidth="1"/>
    <col min="4361" max="4361" width="25" customWidth="1"/>
    <col min="4362" max="4362" width="30.33203125" customWidth="1"/>
    <col min="4363" max="4363" width="8.44140625" customWidth="1"/>
    <col min="4366" max="4366" width="16.5546875" bestFit="1" customWidth="1"/>
    <col min="4608" max="4608" width="24.109375" customWidth="1"/>
    <col min="4610" max="4610" width="25.5546875" customWidth="1"/>
    <col min="4611" max="4611" width="24" customWidth="1"/>
    <col min="4612" max="4612" width="25.5546875" customWidth="1"/>
    <col min="4613" max="4616" width="23.44140625" customWidth="1"/>
    <col min="4617" max="4617" width="25" customWidth="1"/>
    <col min="4618" max="4618" width="30.33203125" customWidth="1"/>
    <col min="4619" max="4619" width="8.44140625" customWidth="1"/>
    <col min="4622" max="4622" width="16.5546875" bestFit="1" customWidth="1"/>
    <col min="4864" max="4864" width="24.109375" customWidth="1"/>
    <col min="4866" max="4866" width="25.5546875" customWidth="1"/>
    <col min="4867" max="4867" width="24" customWidth="1"/>
    <col min="4868" max="4868" width="25.5546875" customWidth="1"/>
    <col min="4869" max="4872" width="23.44140625" customWidth="1"/>
    <col min="4873" max="4873" width="25" customWidth="1"/>
    <col min="4874" max="4874" width="30.33203125" customWidth="1"/>
    <col min="4875" max="4875" width="8.44140625" customWidth="1"/>
    <col min="4878" max="4878" width="16.5546875" bestFit="1" customWidth="1"/>
    <col min="5120" max="5120" width="24.109375" customWidth="1"/>
    <col min="5122" max="5122" width="25.5546875" customWidth="1"/>
    <col min="5123" max="5123" width="24" customWidth="1"/>
    <col min="5124" max="5124" width="25.5546875" customWidth="1"/>
    <col min="5125" max="5128" width="23.44140625" customWidth="1"/>
    <col min="5129" max="5129" width="25" customWidth="1"/>
    <col min="5130" max="5130" width="30.33203125" customWidth="1"/>
    <col min="5131" max="5131" width="8.44140625" customWidth="1"/>
    <col min="5134" max="5134" width="16.5546875" bestFit="1" customWidth="1"/>
    <col min="5376" max="5376" width="24.109375" customWidth="1"/>
    <col min="5378" max="5378" width="25.5546875" customWidth="1"/>
    <col min="5379" max="5379" width="24" customWidth="1"/>
    <col min="5380" max="5380" width="25.5546875" customWidth="1"/>
    <col min="5381" max="5384" width="23.44140625" customWidth="1"/>
    <col min="5385" max="5385" width="25" customWidth="1"/>
    <col min="5386" max="5386" width="30.33203125" customWidth="1"/>
    <col min="5387" max="5387" width="8.44140625" customWidth="1"/>
    <col min="5390" max="5390" width="16.5546875" bestFit="1" customWidth="1"/>
    <col min="5632" max="5632" width="24.109375" customWidth="1"/>
    <col min="5634" max="5634" width="25.5546875" customWidth="1"/>
    <col min="5635" max="5635" width="24" customWidth="1"/>
    <col min="5636" max="5636" width="25.5546875" customWidth="1"/>
    <col min="5637" max="5640" width="23.44140625" customWidth="1"/>
    <col min="5641" max="5641" width="25" customWidth="1"/>
    <col min="5642" max="5642" width="30.33203125" customWidth="1"/>
    <col min="5643" max="5643" width="8.44140625" customWidth="1"/>
    <col min="5646" max="5646" width="16.5546875" bestFit="1" customWidth="1"/>
    <col min="5888" max="5888" width="24.109375" customWidth="1"/>
    <col min="5890" max="5890" width="25.5546875" customWidth="1"/>
    <col min="5891" max="5891" width="24" customWidth="1"/>
    <col min="5892" max="5892" width="25.5546875" customWidth="1"/>
    <col min="5893" max="5896" width="23.44140625" customWidth="1"/>
    <col min="5897" max="5897" width="25" customWidth="1"/>
    <col min="5898" max="5898" width="30.33203125" customWidth="1"/>
    <col min="5899" max="5899" width="8.44140625" customWidth="1"/>
    <col min="5902" max="5902" width="16.5546875" bestFit="1" customWidth="1"/>
    <col min="6144" max="6144" width="24.109375" customWidth="1"/>
    <col min="6146" max="6146" width="25.5546875" customWidth="1"/>
    <col min="6147" max="6147" width="24" customWidth="1"/>
    <col min="6148" max="6148" width="25.5546875" customWidth="1"/>
    <col min="6149" max="6152" width="23.44140625" customWidth="1"/>
    <col min="6153" max="6153" width="25" customWidth="1"/>
    <col min="6154" max="6154" width="30.33203125" customWidth="1"/>
    <col min="6155" max="6155" width="8.44140625" customWidth="1"/>
    <col min="6158" max="6158" width="16.5546875" bestFit="1" customWidth="1"/>
    <col min="6400" max="6400" width="24.109375" customWidth="1"/>
    <col min="6402" max="6402" width="25.5546875" customWidth="1"/>
    <col min="6403" max="6403" width="24" customWidth="1"/>
    <col min="6404" max="6404" width="25.5546875" customWidth="1"/>
    <col min="6405" max="6408" width="23.44140625" customWidth="1"/>
    <col min="6409" max="6409" width="25" customWidth="1"/>
    <col min="6410" max="6410" width="30.33203125" customWidth="1"/>
    <col min="6411" max="6411" width="8.44140625" customWidth="1"/>
    <col min="6414" max="6414" width="16.5546875" bestFit="1" customWidth="1"/>
    <col min="6656" max="6656" width="24.109375" customWidth="1"/>
    <col min="6658" max="6658" width="25.5546875" customWidth="1"/>
    <col min="6659" max="6659" width="24" customWidth="1"/>
    <col min="6660" max="6660" width="25.5546875" customWidth="1"/>
    <col min="6661" max="6664" width="23.44140625" customWidth="1"/>
    <col min="6665" max="6665" width="25" customWidth="1"/>
    <col min="6666" max="6666" width="30.33203125" customWidth="1"/>
    <col min="6667" max="6667" width="8.44140625" customWidth="1"/>
    <col min="6670" max="6670" width="16.5546875" bestFit="1" customWidth="1"/>
    <col min="6912" max="6912" width="24.109375" customWidth="1"/>
    <col min="6914" max="6914" width="25.5546875" customWidth="1"/>
    <col min="6915" max="6915" width="24" customWidth="1"/>
    <col min="6916" max="6916" width="25.5546875" customWidth="1"/>
    <col min="6917" max="6920" width="23.44140625" customWidth="1"/>
    <col min="6921" max="6921" width="25" customWidth="1"/>
    <col min="6922" max="6922" width="30.33203125" customWidth="1"/>
    <col min="6923" max="6923" width="8.44140625" customWidth="1"/>
    <col min="6926" max="6926" width="16.5546875" bestFit="1" customWidth="1"/>
    <col min="7168" max="7168" width="24.109375" customWidth="1"/>
    <col min="7170" max="7170" width="25.5546875" customWidth="1"/>
    <col min="7171" max="7171" width="24" customWidth="1"/>
    <col min="7172" max="7172" width="25.5546875" customWidth="1"/>
    <col min="7173" max="7176" width="23.44140625" customWidth="1"/>
    <col min="7177" max="7177" width="25" customWidth="1"/>
    <col min="7178" max="7178" width="30.33203125" customWidth="1"/>
    <col min="7179" max="7179" width="8.44140625" customWidth="1"/>
    <col min="7182" max="7182" width="16.5546875" bestFit="1" customWidth="1"/>
    <col min="7424" max="7424" width="24.109375" customWidth="1"/>
    <col min="7426" max="7426" width="25.5546875" customWidth="1"/>
    <col min="7427" max="7427" width="24" customWidth="1"/>
    <col min="7428" max="7428" width="25.5546875" customWidth="1"/>
    <col min="7429" max="7432" width="23.44140625" customWidth="1"/>
    <col min="7433" max="7433" width="25" customWidth="1"/>
    <col min="7434" max="7434" width="30.33203125" customWidth="1"/>
    <col min="7435" max="7435" width="8.44140625" customWidth="1"/>
    <col min="7438" max="7438" width="16.5546875" bestFit="1" customWidth="1"/>
    <col min="7680" max="7680" width="24.109375" customWidth="1"/>
    <col min="7682" max="7682" width="25.5546875" customWidth="1"/>
    <col min="7683" max="7683" width="24" customWidth="1"/>
    <col min="7684" max="7684" width="25.5546875" customWidth="1"/>
    <col min="7685" max="7688" width="23.44140625" customWidth="1"/>
    <col min="7689" max="7689" width="25" customWidth="1"/>
    <col min="7690" max="7690" width="30.33203125" customWidth="1"/>
    <col min="7691" max="7691" width="8.44140625" customWidth="1"/>
    <col min="7694" max="7694" width="16.5546875" bestFit="1" customWidth="1"/>
    <col min="7936" max="7936" width="24.109375" customWidth="1"/>
    <col min="7938" max="7938" width="25.5546875" customWidth="1"/>
    <col min="7939" max="7939" width="24" customWidth="1"/>
    <col min="7940" max="7940" width="25.5546875" customWidth="1"/>
    <col min="7941" max="7944" width="23.44140625" customWidth="1"/>
    <col min="7945" max="7945" width="25" customWidth="1"/>
    <col min="7946" max="7946" width="30.33203125" customWidth="1"/>
    <col min="7947" max="7947" width="8.44140625" customWidth="1"/>
    <col min="7950" max="7950" width="16.5546875" bestFit="1" customWidth="1"/>
    <col min="8192" max="8192" width="24.109375" customWidth="1"/>
    <col min="8194" max="8194" width="25.5546875" customWidth="1"/>
    <col min="8195" max="8195" width="24" customWidth="1"/>
    <col min="8196" max="8196" width="25.5546875" customWidth="1"/>
    <col min="8197" max="8200" width="23.44140625" customWidth="1"/>
    <col min="8201" max="8201" width="25" customWidth="1"/>
    <col min="8202" max="8202" width="30.33203125" customWidth="1"/>
    <col min="8203" max="8203" width="8.44140625" customWidth="1"/>
    <col min="8206" max="8206" width="16.5546875" bestFit="1" customWidth="1"/>
    <col min="8448" max="8448" width="24.109375" customWidth="1"/>
    <col min="8450" max="8450" width="25.5546875" customWidth="1"/>
    <col min="8451" max="8451" width="24" customWidth="1"/>
    <col min="8452" max="8452" width="25.5546875" customWidth="1"/>
    <col min="8453" max="8456" width="23.44140625" customWidth="1"/>
    <col min="8457" max="8457" width="25" customWidth="1"/>
    <col min="8458" max="8458" width="30.33203125" customWidth="1"/>
    <col min="8459" max="8459" width="8.44140625" customWidth="1"/>
    <col min="8462" max="8462" width="16.5546875" bestFit="1" customWidth="1"/>
    <col min="8704" max="8704" width="24.109375" customWidth="1"/>
    <col min="8706" max="8706" width="25.5546875" customWidth="1"/>
    <col min="8707" max="8707" width="24" customWidth="1"/>
    <col min="8708" max="8708" width="25.5546875" customWidth="1"/>
    <col min="8709" max="8712" width="23.44140625" customWidth="1"/>
    <col min="8713" max="8713" width="25" customWidth="1"/>
    <col min="8714" max="8714" width="30.33203125" customWidth="1"/>
    <col min="8715" max="8715" width="8.44140625" customWidth="1"/>
    <col min="8718" max="8718" width="16.5546875" bestFit="1" customWidth="1"/>
    <col min="8960" max="8960" width="24.109375" customWidth="1"/>
    <col min="8962" max="8962" width="25.5546875" customWidth="1"/>
    <col min="8963" max="8963" width="24" customWidth="1"/>
    <col min="8964" max="8964" width="25.5546875" customWidth="1"/>
    <col min="8965" max="8968" width="23.44140625" customWidth="1"/>
    <col min="8969" max="8969" width="25" customWidth="1"/>
    <col min="8970" max="8970" width="30.33203125" customWidth="1"/>
    <col min="8971" max="8971" width="8.44140625" customWidth="1"/>
    <col min="8974" max="8974" width="16.5546875" bestFit="1" customWidth="1"/>
    <col min="9216" max="9216" width="24.109375" customWidth="1"/>
    <col min="9218" max="9218" width="25.5546875" customWidth="1"/>
    <col min="9219" max="9219" width="24" customWidth="1"/>
    <col min="9220" max="9220" width="25.5546875" customWidth="1"/>
    <col min="9221" max="9224" width="23.44140625" customWidth="1"/>
    <col min="9225" max="9225" width="25" customWidth="1"/>
    <col min="9226" max="9226" width="30.33203125" customWidth="1"/>
    <col min="9227" max="9227" width="8.44140625" customWidth="1"/>
    <col min="9230" max="9230" width="16.5546875" bestFit="1" customWidth="1"/>
    <col min="9472" max="9472" width="24.109375" customWidth="1"/>
    <col min="9474" max="9474" width="25.5546875" customWidth="1"/>
    <col min="9475" max="9475" width="24" customWidth="1"/>
    <col min="9476" max="9476" width="25.5546875" customWidth="1"/>
    <col min="9477" max="9480" width="23.44140625" customWidth="1"/>
    <col min="9481" max="9481" width="25" customWidth="1"/>
    <col min="9482" max="9482" width="30.33203125" customWidth="1"/>
    <col min="9483" max="9483" width="8.44140625" customWidth="1"/>
    <col min="9486" max="9486" width="16.5546875" bestFit="1" customWidth="1"/>
    <col min="9728" max="9728" width="24.109375" customWidth="1"/>
    <col min="9730" max="9730" width="25.5546875" customWidth="1"/>
    <col min="9731" max="9731" width="24" customWidth="1"/>
    <col min="9732" max="9732" width="25.5546875" customWidth="1"/>
    <col min="9733" max="9736" width="23.44140625" customWidth="1"/>
    <col min="9737" max="9737" width="25" customWidth="1"/>
    <col min="9738" max="9738" width="30.33203125" customWidth="1"/>
    <col min="9739" max="9739" width="8.44140625" customWidth="1"/>
    <col min="9742" max="9742" width="16.5546875" bestFit="1" customWidth="1"/>
    <col min="9984" max="9984" width="24.109375" customWidth="1"/>
    <col min="9986" max="9986" width="25.5546875" customWidth="1"/>
    <col min="9987" max="9987" width="24" customWidth="1"/>
    <col min="9988" max="9988" width="25.5546875" customWidth="1"/>
    <col min="9989" max="9992" width="23.44140625" customWidth="1"/>
    <col min="9993" max="9993" width="25" customWidth="1"/>
    <col min="9994" max="9994" width="30.33203125" customWidth="1"/>
    <col min="9995" max="9995" width="8.44140625" customWidth="1"/>
    <col min="9998" max="9998" width="16.5546875" bestFit="1" customWidth="1"/>
    <col min="10240" max="10240" width="24.109375" customWidth="1"/>
    <col min="10242" max="10242" width="25.5546875" customWidth="1"/>
    <col min="10243" max="10243" width="24" customWidth="1"/>
    <col min="10244" max="10244" width="25.5546875" customWidth="1"/>
    <col min="10245" max="10248" width="23.44140625" customWidth="1"/>
    <col min="10249" max="10249" width="25" customWidth="1"/>
    <col min="10250" max="10250" width="30.33203125" customWidth="1"/>
    <col min="10251" max="10251" width="8.44140625" customWidth="1"/>
    <col min="10254" max="10254" width="16.5546875" bestFit="1" customWidth="1"/>
    <col min="10496" max="10496" width="24.109375" customWidth="1"/>
    <col min="10498" max="10498" width="25.5546875" customWidth="1"/>
    <col min="10499" max="10499" width="24" customWidth="1"/>
    <col min="10500" max="10500" width="25.5546875" customWidth="1"/>
    <col min="10501" max="10504" width="23.44140625" customWidth="1"/>
    <col min="10505" max="10505" width="25" customWidth="1"/>
    <col min="10506" max="10506" width="30.33203125" customWidth="1"/>
    <col min="10507" max="10507" width="8.44140625" customWidth="1"/>
    <col min="10510" max="10510" width="16.5546875" bestFit="1" customWidth="1"/>
    <col min="10752" max="10752" width="24.109375" customWidth="1"/>
    <col min="10754" max="10754" width="25.5546875" customWidth="1"/>
    <col min="10755" max="10755" width="24" customWidth="1"/>
    <col min="10756" max="10756" width="25.5546875" customWidth="1"/>
    <col min="10757" max="10760" width="23.44140625" customWidth="1"/>
    <col min="10761" max="10761" width="25" customWidth="1"/>
    <col min="10762" max="10762" width="30.33203125" customWidth="1"/>
    <col min="10763" max="10763" width="8.44140625" customWidth="1"/>
    <col min="10766" max="10766" width="16.5546875" bestFit="1" customWidth="1"/>
    <col min="11008" max="11008" width="24.109375" customWidth="1"/>
    <col min="11010" max="11010" width="25.5546875" customWidth="1"/>
    <col min="11011" max="11011" width="24" customWidth="1"/>
    <col min="11012" max="11012" width="25.5546875" customWidth="1"/>
    <col min="11013" max="11016" width="23.44140625" customWidth="1"/>
    <col min="11017" max="11017" width="25" customWidth="1"/>
    <col min="11018" max="11018" width="30.33203125" customWidth="1"/>
    <col min="11019" max="11019" width="8.44140625" customWidth="1"/>
    <col min="11022" max="11022" width="16.5546875" bestFit="1" customWidth="1"/>
    <col min="11264" max="11264" width="24.109375" customWidth="1"/>
    <col min="11266" max="11266" width="25.5546875" customWidth="1"/>
    <col min="11267" max="11267" width="24" customWidth="1"/>
    <col min="11268" max="11268" width="25.5546875" customWidth="1"/>
    <col min="11269" max="11272" width="23.44140625" customWidth="1"/>
    <col min="11273" max="11273" width="25" customWidth="1"/>
    <col min="11274" max="11274" width="30.33203125" customWidth="1"/>
    <col min="11275" max="11275" width="8.44140625" customWidth="1"/>
    <col min="11278" max="11278" width="16.5546875" bestFit="1" customWidth="1"/>
    <col min="11520" max="11520" width="24.109375" customWidth="1"/>
    <col min="11522" max="11522" width="25.5546875" customWidth="1"/>
    <col min="11523" max="11523" width="24" customWidth="1"/>
    <col min="11524" max="11524" width="25.5546875" customWidth="1"/>
    <col min="11525" max="11528" width="23.44140625" customWidth="1"/>
    <col min="11529" max="11529" width="25" customWidth="1"/>
    <col min="11530" max="11530" width="30.33203125" customWidth="1"/>
    <col min="11531" max="11531" width="8.44140625" customWidth="1"/>
    <col min="11534" max="11534" width="16.5546875" bestFit="1" customWidth="1"/>
    <col min="11776" max="11776" width="24.109375" customWidth="1"/>
    <col min="11778" max="11778" width="25.5546875" customWidth="1"/>
    <col min="11779" max="11779" width="24" customWidth="1"/>
    <col min="11780" max="11780" width="25.5546875" customWidth="1"/>
    <col min="11781" max="11784" width="23.44140625" customWidth="1"/>
    <col min="11785" max="11785" width="25" customWidth="1"/>
    <col min="11786" max="11786" width="30.33203125" customWidth="1"/>
    <col min="11787" max="11787" width="8.44140625" customWidth="1"/>
    <col min="11790" max="11790" width="16.5546875" bestFit="1" customWidth="1"/>
    <col min="12032" max="12032" width="24.109375" customWidth="1"/>
    <col min="12034" max="12034" width="25.5546875" customWidth="1"/>
    <col min="12035" max="12035" width="24" customWidth="1"/>
    <col min="12036" max="12036" width="25.5546875" customWidth="1"/>
    <col min="12037" max="12040" width="23.44140625" customWidth="1"/>
    <col min="12041" max="12041" width="25" customWidth="1"/>
    <col min="12042" max="12042" width="30.33203125" customWidth="1"/>
    <col min="12043" max="12043" width="8.44140625" customWidth="1"/>
    <col min="12046" max="12046" width="16.5546875" bestFit="1" customWidth="1"/>
    <col min="12288" max="12288" width="24.109375" customWidth="1"/>
    <col min="12290" max="12290" width="25.5546875" customWidth="1"/>
    <col min="12291" max="12291" width="24" customWidth="1"/>
    <col min="12292" max="12292" width="25.5546875" customWidth="1"/>
    <col min="12293" max="12296" width="23.44140625" customWidth="1"/>
    <col min="12297" max="12297" width="25" customWidth="1"/>
    <col min="12298" max="12298" width="30.33203125" customWidth="1"/>
    <col min="12299" max="12299" width="8.44140625" customWidth="1"/>
    <col min="12302" max="12302" width="16.5546875" bestFit="1" customWidth="1"/>
    <col min="12544" max="12544" width="24.109375" customWidth="1"/>
    <col min="12546" max="12546" width="25.5546875" customWidth="1"/>
    <col min="12547" max="12547" width="24" customWidth="1"/>
    <col min="12548" max="12548" width="25.5546875" customWidth="1"/>
    <col min="12549" max="12552" width="23.44140625" customWidth="1"/>
    <col min="12553" max="12553" width="25" customWidth="1"/>
    <col min="12554" max="12554" width="30.33203125" customWidth="1"/>
    <col min="12555" max="12555" width="8.44140625" customWidth="1"/>
    <col min="12558" max="12558" width="16.5546875" bestFit="1" customWidth="1"/>
    <col min="12800" max="12800" width="24.109375" customWidth="1"/>
    <col min="12802" max="12802" width="25.5546875" customWidth="1"/>
    <col min="12803" max="12803" width="24" customWidth="1"/>
    <col min="12804" max="12804" width="25.5546875" customWidth="1"/>
    <col min="12805" max="12808" width="23.44140625" customWidth="1"/>
    <col min="12809" max="12809" width="25" customWidth="1"/>
    <col min="12810" max="12810" width="30.33203125" customWidth="1"/>
    <col min="12811" max="12811" width="8.44140625" customWidth="1"/>
    <col min="12814" max="12814" width="16.5546875" bestFit="1" customWidth="1"/>
    <col min="13056" max="13056" width="24.109375" customWidth="1"/>
    <col min="13058" max="13058" width="25.5546875" customWidth="1"/>
    <col min="13059" max="13059" width="24" customWidth="1"/>
    <col min="13060" max="13060" width="25.5546875" customWidth="1"/>
    <col min="13061" max="13064" width="23.44140625" customWidth="1"/>
    <col min="13065" max="13065" width="25" customWidth="1"/>
    <col min="13066" max="13066" width="30.33203125" customWidth="1"/>
    <col min="13067" max="13067" width="8.44140625" customWidth="1"/>
    <col min="13070" max="13070" width="16.5546875" bestFit="1" customWidth="1"/>
    <col min="13312" max="13312" width="24.109375" customWidth="1"/>
    <col min="13314" max="13314" width="25.5546875" customWidth="1"/>
    <col min="13315" max="13315" width="24" customWidth="1"/>
    <col min="13316" max="13316" width="25.5546875" customWidth="1"/>
    <col min="13317" max="13320" width="23.44140625" customWidth="1"/>
    <col min="13321" max="13321" width="25" customWidth="1"/>
    <col min="13322" max="13322" width="30.33203125" customWidth="1"/>
    <col min="13323" max="13323" width="8.44140625" customWidth="1"/>
    <col min="13326" max="13326" width="16.5546875" bestFit="1" customWidth="1"/>
    <col min="13568" max="13568" width="24.109375" customWidth="1"/>
    <col min="13570" max="13570" width="25.5546875" customWidth="1"/>
    <col min="13571" max="13571" width="24" customWidth="1"/>
    <col min="13572" max="13572" width="25.5546875" customWidth="1"/>
    <col min="13573" max="13576" width="23.44140625" customWidth="1"/>
    <col min="13577" max="13577" width="25" customWidth="1"/>
    <col min="13578" max="13578" width="30.33203125" customWidth="1"/>
    <col min="13579" max="13579" width="8.44140625" customWidth="1"/>
    <col min="13582" max="13582" width="16.5546875" bestFit="1" customWidth="1"/>
    <col min="13824" max="13824" width="24.109375" customWidth="1"/>
    <col min="13826" max="13826" width="25.5546875" customWidth="1"/>
    <col min="13827" max="13827" width="24" customWidth="1"/>
    <col min="13828" max="13828" width="25.5546875" customWidth="1"/>
    <col min="13829" max="13832" width="23.44140625" customWidth="1"/>
    <col min="13833" max="13833" width="25" customWidth="1"/>
    <col min="13834" max="13834" width="30.33203125" customWidth="1"/>
    <col min="13835" max="13835" width="8.44140625" customWidth="1"/>
    <col min="13838" max="13838" width="16.5546875" bestFit="1" customWidth="1"/>
    <col min="14080" max="14080" width="24.109375" customWidth="1"/>
    <col min="14082" max="14082" width="25.5546875" customWidth="1"/>
    <col min="14083" max="14083" width="24" customWidth="1"/>
    <col min="14084" max="14084" width="25.5546875" customWidth="1"/>
    <col min="14085" max="14088" width="23.44140625" customWidth="1"/>
    <col min="14089" max="14089" width="25" customWidth="1"/>
    <col min="14090" max="14090" width="30.33203125" customWidth="1"/>
    <col min="14091" max="14091" width="8.44140625" customWidth="1"/>
    <col min="14094" max="14094" width="16.5546875" bestFit="1" customWidth="1"/>
    <col min="14336" max="14336" width="24.109375" customWidth="1"/>
    <col min="14338" max="14338" width="25.5546875" customWidth="1"/>
    <col min="14339" max="14339" width="24" customWidth="1"/>
    <col min="14340" max="14340" width="25.5546875" customWidth="1"/>
    <col min="14341" max="14344" width="23.44140625" customWidth="1"/>
    <col min="14345" max="14345" width="25" customWidth="1"/>
    <col min="14346" max="14346" width="30.33203125" customWidth="1"/>
    <col min="14347" max="14347" width="8.44140625" customWidth="1"/>
    <col min="14350" max="14350" width="16.5546875" bestFit="1" customWidth="1"/>
    <col min="14592" max="14592" width="24.109375" customWidth="1"/>
    <col min="14594" max="14594" width="25.5546875" customWidth="1"/>
    <col min="14595" max="14595" width="24" customWidth="1"/>
    <col min="14596" max="14596" width="25.5546875" customWidth="1"/>
    <col min="14597" max="14600" width="23.44140625" customWidth="1"/>
    <col min="14601" max="14601" width="25" customWidth="1"/>
    <col min="14602" max="14602" width="30.33203125" customWidth="1"/>
    <col min="14603" max="14603" width="8.44140625" customWidth="1"/>
    <col min="14606" max="14606" width="16.5546875" bestFit="1" customWidth="1"/>
    <col min="14848" max="14848" width="24.109375" customWidth="1"/>
    <col min="14850" max="14850" width="25.5546875" customWidth="1"/>
    <col min="14851" max="14851" width="24" customWidth="1"/>
    <col min="14852" max="14852" width="25.5546875" customWidth="1"/>
    <col min="14853" max="14856" width="23.44140625" customWidth="1"/>
    <col min="14857" max="14857" width="25" customWidth="1"/>
    <col min="14858" max="14858" width="30.33203125" customWidth="1"/>
    <col min="14859" max="14859" width="8.44140625" customWidth="1"/>
    <col min="14862" max="14862" width="16.5546875" bestFit="1" customWidth="1"/>
    <col min="15104" max="15104" width="24.109375" customWidth="1"/>
    <col min="15106" max="15106" width="25.5546875" customWidth="1"/>
    <col min="15107" max="15107" width="24" customWidth="1"/>
    <col min="15108" max="15108" width="25.5546875" customWidth="1"/>
    <col min="15109" max="15112" width="23.44140625" customWidth="1"/>
    <col min="15113" max="15113" width="25" customWidth="1"/>
    <col min="15114" max="15114" width="30.33203125" customWidth="1"/>
    <col min="15115" max="15115" width="8.44140625" customWidth="1"/>
    <col min="15118" max="15118" width="16.5546875" bestFit="1" customWidth="1"/>
    <col min="15360" max="15360" width="24.109375" customWidth="1"/>
    <col min="15362" max="15362" width="25.5546875" customWidth="1"/>
    <col min="15363" max="15363" width="24" customWidth="1"/>
    <col min="15364" max="15364" width="25.5546875" customWidth="1"/>
    <col min="15365" max="15368" width="23.44140625" customWidth="1"/>
    <col min="15369" max="15369" width="25" customWidth="1"/>
    <col min="15370" max="15370" width="30.33203125" customWidth="1"/>
    <col min="15371" max="15371" width="8.44140625" customWidth="1"/>
    <col min="15374" max="15374" width="16.5546875" bestFit="1" customWidth="1"/>
    <col min="15616" max="15616" width="24.109375" customWidth="1"/>
    <col min="15618" max="15618" width="25.5546875" customWidth="1"/>
    <col min="15619" max="15619" width="24" customWidth="1"/>
    <col min="15620" max="15620" width="25.5546875" customWidth="1"/>
    <col min="15621" max="15624" width="23.44140625" customWidth="1"/>
    <col min="15625" max="15625" width="25" customWidth="1"/>
    <col min="15626" max="15626" width="30.33203125" customWidth="1"/>
    <col min="15627" max="15627" width="8.44140625" customWidth="1"/>
    <col min="15630" max="15630" width="16.5546875" bestFit="1" customWidth="1"/>
    <col min="15872" max="15872" width="24.109375" customWidth="1"/>
    <col min="15874" max="15874" width="25.5546875" customWidth="1"/>
    <col min="15875" max="15875" width="24" customWidth="1"/>
    <col min="15876" max="15876" width="25.5546875" customWidth="1"/>
    <col min="15877" max="15880" width="23.44140625" customWidth="1"/>
    <col min="15881" max="15881" width="25" customWidth="1"/>
    <col min="15882" max="15882" width="30.33203125" customWidth="1"/>
    <col min="15883" max="15883" width="8.44140625" customWidth="1"/>
    <col min="15886" max="15886" width="16.5546875" bestFit="1" customWidth="1"/>
    <col min="16128" max="16128" width="24.109375" customWidth="1"/>
    <col min="16130" max="16130" width="25.5546875" customWidth="1"/>
    <col min="16131" max="16131" width="24" customWidth="1"/>
    <col min="16132" max="16132" width="25.5546875" customWidth="1"/>
    <col min="16133" max="16136" width="23.44140625" customWidth="1"/>
    <col min="16137" max="16137" width="25" customWidth="1"/>
    <col min="16138" max="16138" width="30.33203125" customWidth="1"/>
    <col min="16139" max="16139" width="8.44140625" customWidth="1"/>
    <col min="16142" max="16142" width="16.5546875" bestFit="1" customWidth="1"/>
  </cols>
  <sheetData>
    <row r="1" spans="1:14" ht="30" customHeight="1" x14ac:dyDescent="0.45">
      <c r="A1" s="129" t="s">
        <v>116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4" ht="24.6" x14ac:dyDescent="0.4">
      <c r="A2" s="130" t="s">
        <v>117</v>
      </c>
      <c r="B2" s="131"/>
      <c r="C2" s="131"/>
      <c r="D2" s="131"/>
      <c r="E2" s="131"/>
      <c r="F2" s="131"/>
      <c r="G2" s="131"/>
      <c r="H2" s="131"/>
      <c r="I2" s="131"/>
      <c r="J2" s="131"/>
      <c r="K2" s="132"/>
    </row>
    <row r="3" spans="1:14" ht="36.75" customHeight="1" x14ac:dyDescent="0.35">
      <c r="A3" s="133" t="s">
        <v>215</v>
      </c>
      <c r="B3" s="134"/>
      <c r="C3" s="134"/>
      <c r="D3" s="134"/>
      <c r="E3" s="134"/>
      <c r="F3" s="134"/>
      <c r="G3" s="134"/>
      <c r="H3" s="134"/>
      <c r="I3" s="134"/>
      <c r="J3" s="134"/>
      <c r="K3" s="135"/>
    </row>
    <row r="4" spans="1:14" ht="18" x14ac:dyDescent="0.35">
      <c r="A4" s="82"/>
      <c r="B4" s="83">
        <v>1</v>
      </c>
      <c r="C4" s="83">
        <v>2</v>
      </c>
      <c r="D4" s="83">
        <v>3</v>
      </c>
      <c r="E4" s="83">
        <v>4</v>
      </c>
      <c r="F4" s="83">
        <v>5</v>
      </c>
      <c r="G4" s="83">
        <v>6</v>
      </c>
      <c r="H4" s="83"/>
      <c r="I4" s="83">
        <v>10</v>
      </c>
      <c r="J4" s="84" t="s">
        <v>164</v>
      </c>
      <c r="K4" s="85"/>
    </row>
    <row r="5" spans="1:14" ht="71.25" customHeight="1" x14ac:dyDescent="0.35">
      <c r="A5" s="86" t="s">
        <v>0</v>
      </c>
      <c r="B5" s="86" t="s">
        <v>20</v>
      </c>
      <c r="C5" s="87" t="s">
        <v>1</v>
      </c>
      <c r="D5" s="88" t="s">
        <v>7</v>
      </c>
      <c r="E5" s="89" t="s">
        <v>113</v>
      </c>
      <c r="F5" s="88" t="s">
        <v>121</v>
      </c>
      <c r="G5" s="95" t="s">
        <v>118</v>
      </c>
      <c r="H5" s="95" t="s">
        <v>216</v>
      </c>
      <c r="I5" s="86" t="s">
        <v>11</v>
      </c>
      <c r="J5" s="86" t="s">
        <v>14</v>
      </c>
      <c r="K5" s="86" t="s">
        <v>0</v>
      </c>
    </row>
    <row r="6" spans="1:14" ht="18" x14ac:dyDescent="0.35">
      <c r="A6" s="90"/>
      <c r="B6" s="90"/>
      <c r="C6" s="90"/>
      <c r="D6" s="57" t="s">
        <v>105</v>
      </c>
      <c r="E6" s="57" t="s">
        <v>105</v>
      </c>
      <c r="F6" s="57" t="s">
        <v>105</v>
      </c>
      <c r="G6" s="57" t="s">
        <v>105</v>
      </c>
      <c r="H6" s="57" t="s">
        <v>105</v>
      </c>
      <c r="I6" s="57" t="s">
        <v>105</v>
      </c>
      <c r="J6" s="57" t="s">
        <v>105</v>
      </c>
      <c r="K6" s="90"/>
    </row>
    <row r="7" spans="1:14" ht="18" x14ac:dyDescent="0.35">
      <c r="A7" s="91">
        <v>1</v>
      </c>
      <c r="B7" s="90" t="s">
        <v>165</v>
      </c>
      <c r="C7" s="91">
        <v>17</v>
      </c>
      <c r="D7" s="90">
        <v>1460694458.5041747</v>
      </c>
      <c r="E7" s="90">
        <f>-117386947.9019</f>
        <v>-117386947.90189999</v>
      </c>
      <c r="F7" s="108">
        <v>124537014.73</v>
      </c>
      <c r="G7" s="108">
        <v>11283398.879999999</v>
      </c>
      <c r="H7" s="108">
        <v>47895446.169999994</v>
      </c>
      <c r="I7" s="90">
        <v>1036955401.0117</v>
      </c>
      <c r="J7" s="90">
        <f>D7+E7+F7+G7+H7+I7</f>
        <v>2563978771.3939748</v>
      </c>
      <c r="K7" s="92">
        <v>1</v>
      </c>
      <c r="N7" s="109"/>
    </row>
    <row r="8" spans="1:14" ht="18" x14ac:dyDescent="0.35">
      <c r="A8" s="91">
        <v>2</v>
      </c>
      <c r="B8" s="90" t="s">
        <v>166</v>
      </c>
      <c r="C8" s="91">
        <v>21</v>
      </c>
      <c r="D8" s="90">
        <v>1842456415.5899999</v>
      </c>
      <c r="E8" s="90">
        <f>-145104778.0833</f>
        <v>-145104778.08329999</v>
      </c>
      <c r="F8" s="108">
        <v>157085570.1092</v>
      </c>
      <c r="G8" s="108">
        <v>14232388.2579</v>
      </c>
      <c r="H8" s="108">
        <v>60413231.219999999</v>
      </c>
      <c r="I8" s="90">
        <v>1271865568.8199</v>
      </c>
      <c r="J8" s="90">
        <f t="shared" ref="J8:J44" si="0">D8+E8+F8+G8+H8+I8</f>
        <v>3200948395.9137001</v>
      </c>
      <c r="K8" s="92">
        <v>2</v>
      </c>
    </row>
    <row r="9" spans="1:14" ht="18" x14ac:dyDescent="0.35">
      <c r="A9" s="91">
        <v>3</v>
      </c>
      <c r="B9" s="90" t="s">
        <v>167</v>
      </c>
      <c r="C9" s="91">
        <v>31</v>
      </c>
      <c r="D9" s="90">
        <v>2454043677.755825</v>
      </c>
      <c r="E9" s="90">
        <f>-213522507.2378</f>
        <v>-213522507.2378</v>
      </c>
      <c r="F9" s="108">
        <v>209228748.5986</v>
      </c>
      <c r="G9" s="108">
        <v>18956704.822900001</v>
      </c>
      <c r="H9" s="108">
        <v>80466873.939999998</v>
      </c>
      <c r="I9" s="90">
        <v>1804924576.6472001</v>
      </c>
      <c r="J9" s="90">
        <f t="shared" si="0"/>
        <v>4354098074.5267248</v>
      </c>
      <c r="K9" s="92">
        <v>3</v>
      </c>
    </row>
    <row r="10" spans="1:14" ht="18" x14ac:dyDescent="0.35">
      <c r="A10" s="91">
        <v>4</v>
      </c>
      <c r="B10" s="90" t="s">
        <v>168</v>
      </c>
      <c r="C10" s="91">
        <v>21</v>
      </c>
      <c r="D10" s="90">
        <v>1852413245.3966022</v>
      </c>
      <c r="E10" s="90">
        <f>-145130245.2954</f>
        <v>-145130245.29539999</v>
      </c>
      <c r="F10" s="108">
        <v>157934477.17630002</v>
      </c>
      <c r="G10" s="108">
        <v>14309301.5931</v>
      </c>
      <c r="H10" s="108">
        <v>60739710.729999997</v>
      </c>
      <c r="I10" s="90">
        <v>1363487191.9136</v>
      </c>
      <c r="J10" s="90">
        <f t="shared" si="0"/>
        <v>3303753681.5142021</v>
      </c>
      <c r="K10" s="92">
        <v>4</v>
      </c>
    </row>
    <row r="11" spans="1:14" ht="18" x14ac:dyDescent="0.35">
      <c r="A11" s="91">
        <v>5</v>
      </c>
      <c r="B11" s="90" t="s">
        <v>169</v>
      </c>
      <c r="C11" s="91">
        <v>20</v>
      </c>
      <c r="D11" s="90">
        <v>2102855603.007961</v>
      </c>
      <c r="E11" s="90">
        <f>-139085474.1462</f>
        <v>-139085474.1462</v>
      </c>
      <c r="F11" s="108">
        <v>179286884.8599</v>
      </c>
      <c r="G11" s="108">
        <v>16243888.9409</v>
      </c>
      <c r="H11" s="108">
        <v>68951591.310000002</v>
      </c>
      <c r="I11" s="90">
        <v>1382565717.7593999</v>
      </c>
      <c r="J11" s="90">
        <f t="shared" si="0"/>
        <v>3610818211.7319608</v>
      </c>
      <c r="K11" s="92">
        <v>5</v>
      </c>
    </row>
    <row r="12" spans="1:14" ht="18" x14ac:dyDescent="0.35">
      <c r="A12" s="91">
        <v>6</v>
      </c>
      <c r="B12" s="90" t="s">
        <v>170</v>
      </c>
      <c r="C12" s="91">
        <v>8</v>
      </c>
      <c r="D12" s="90">
        <v>855939201.94805825</v>
      </c>
      <c r="E12" s="90">
        <f>-55672036.7791</f>
        <v>-55672036.779100001</v>
      </c>
      <c r="F12" s="108">
        <v>72976324.636300012</v>
      </c>
      <c r="G12" s="108">
        <v>6611857.3815000001</v>
      </c>
      <c r="H12" s="108">
        <v>28065821.519999996</v>
      </c>
      <c r="I12" s="90">
        <v>853621368.64950001</v>
      </c>
      <c r="J12" s="90">
        <f t="shared" si="0"/>
        <v>1761542537.3562582</v>
      </c>
      <c r="K12" s="92">
        <v>6</v>
      </c>
    </row>
    <row r="13" spans="1:14" ht="18" x14ac:dyDescent="0.35">
      <c r="A13" s="91">
        <v>7</v>
      </c>
      <c r="B13" s="90" t="s">
        <v>171</v>
      </c>
      <c r="C13" s="91">
        <v>23</v>
      </c>
      <c r="D13" s="90">
        <v>2288232352.3735924</v>
      </c>
      <c r="E13" s="90">
        <f>-159615654.1022</f>
        <v>-159615654.1022</v>
      </c>
      <c r="F13" s="108">
        <v>195091878.73839998</v>
      </c>
      <c r="G13" s="108">
        <v>17675865.212099999</v>
      </c>
      <c r="H13" s="108">
        <v>37515001.444999993</v>
      </c>
      <c r="I13" s="90">
        <v>1435019715.7876999</v>
      </c>
      <c r="J13" s="90">
        <f t="shared" si="0"/>
        <v>3813919159.4545927</v>
      </c>
      <c r="K13" s="92">
        <v>7</v>
      </c>
    </row>
    <row r="14" spans="1:14" ht="18" x14ac:dyDescent="0.35">
      <c r="A14" s="91">
        <v>8</v>
      </c>
      <c r="B14" s="90" t="s">
        <v>172</v>
      </c>
      <c r="C14" s="91">
        <v>27</v>
      </c>
      <c r="D14" s="90">
        <v>2484334606.1310682</v>
      </c>
      <c r="E14" s="90">
        <f>-186858610.7381</f>
        <v>-186858610.73809999</v>
      </c>
      <c r="F14" s="108">
        <v>211811315.9323</v>
      </c>
      <c r="G14" s="108">
        <v>19190692.5876</v>
      </c>
      <c r="H14" s="108">
        <v>81460098.440000013</v>
      </c>
      <c r="I14" s="90">
        <v>1570988945.0736001</v>
      </c>
      <c r="J14" s="90">
        <f t="shared" si="0"/>
        <v>4180927047.4264688</v>
      </c>
      <c r="K14" s="92">
        <v>8</v>
      </c>
    </row>
    <row r="15" spans="1:14" ht="36" x14ac:dyDescent="0.35">
      <c r="A15" s="91">
        <v>9</v>
      </c>
      <c r="B15" s="96" t="s">
        <v>173</v>
      </c>
      <c r="C15" s="91">
        <v>18</v>
      </c>
      <c r="D15" s="90">
        <v>1601572274.2036893</v>
      </c>
      <c r="E15" s="90">
        <f>-120336180.84</f>
        <v>-120336180.84</v>
      </c>
      <c r="F15" s="108">
        <v>136548084.18919998</v>
      </c>
      <c r="G15" s="108">
        <v>12371635.087199999</v>
      </c>
      <c r="H15" s="108">
        <v>52514759.809999995</v>
      </c>
      <c r="I15" s="90">
        <v>1071954134.6619999</v>
      </c>
      <c r="J15" s="90">
        <f t="shared" si="0"/>
        <v>2754624707.1120892</v>
      </c>
      <c r="K15" s="92">
        <v>9</v>
      </c>
    </row>
    <row r="16" spans="1:14" ht="18" x14ac:dyDescent="0.35">
      <c r="A16" s="91">
        <v>10</v>
      </c>
      <c r="B16" s="90" t="s">
        <v>174</v>
      </c>
      <c r="C16" s="91">
        <v>25</v>
      </c>
      <c r="D16" s="90">
        <v>2052185168.7476699</v>
      </c>
      <c r="E16" s="90">
        <f>-172382588.0771</f>
        <v>-172382588.07710001</v>
      </c>
      <c r="F16" s="108">
        <v>174966785.89639997</v>
      </c>
      <c r="G16" s="108">
        <v>15852475.996300001</v>
      </c>
      <c r="H16" s="108">
        <v>67290132.920000002</v>
      </c>
      <c r="I16" s="90">
        <v>1532280849.0573001</v>
      </c>
      <c r="J16" s="90">
        <f t="shared" si="0"/>
        <v>3670192824.5405703</v>
      </c>
      <c r="K16" s="92">
        <v>10</v>
      </c>
    </row>
    <row r="17" spans="1:11" ht="18" x14ac:dyDescent="0.35">
      <c r="A17" s="91">
        <v>11</v>
      </c>
      <c r="B17" s="90" t="s">
        <v>175</v>
      </c>
      <c r="C17" s="91">
        <v>13</v>
      </c>
      <c r="D17" s="90">
        <v>1184739951.3437865</v>
      </c>
      <c r="E17" s="90">
        <f>-102142569.6145</f>
        <v>-102142569.6145</v>
      </c>
      <c r="F17" s="108">
        <v>101009472.51789999</v>
      </c>
      <c r="G17" s="108">
        <v>9151738.3156000003</v>
      </c>
      <c r="H17" s="108">
        <v>38847034.869999997</v>
      </c>
      <c r="I17" s="90">
        <v>874497653.84819996</v>
      </c>
      <c r="J17" s="90">
        <f t="shared" si="0"/>
        <v>2106103281.2809863</v>
      </c>
      <c r="K17" s="92">
        <v>11</v>
      </c>
    </row>
    <row r="18" spans="1:11" ht="18" x14ac:dyDescent="0.35">
      <c r="A18" s="91">
        <v>12</v>
      </c>
      <c r="B18" s="90" t="s">
        <v>176</v>
      </c>
      <c r="C18" s="91">
        <v>18</v>
      </c>
      <c r="D18" s="90">
        <v>1570199418.9983494</v>
      </c>
      <c r="E18" s="90">
        <f>-124352379.0332</f>
        <v>-124352379.0332</v>
      </c>
      <c r="F18" s="108">
        <v>133873273.11090001</v>
      </c>
      <c r="G18" s="108">
        <v>12129289.7861</v>
      </c>
      <c r="H18" s="108">
        <v>51486059.449999996</v>
      </c>
      <c r="I18" s="90">
        <v>1143042649.1173</v>
      </c>
      <c r="J18" s="90">
        <f t="shared" si="0"/>
        <v>2786378311.4294491</v>
      </c>
      <c r="K18" s="92">
        <v>12</v>
      </c>
    </row>
    <row r="19" spans="1:11" ht="18" x14ac:dyDescent="0.35">
      <c r="A19" s="91">
        <v>13</v>
      </c>
      <c r="B19" s="90" t="s">
        <v>177</v>
      </c>
      <c r="C19" s="91">
        <v>16</v>
      </c>
      <c r="D19" s="90">
        <v>1246795280.9449515</v>
      </c>
      <c r="E19" s="90">
        <f>-110154501.0903</f>
        <v>-110154501.09029999</v>
      </c>
      <c r="F19" s="108">
        <v>106300233.67479999</v>
      </c>
      <c r="G19" s="108">
        <v>9631095.9466999993</v>
      </c>
      <c r="H19" s="108">
        <v>40881798.32</v>
      </c>
      <c r="I19" s="90">
        <v>984797953.40069997</v>
      </c>
      <c r="J19" s="90">
        <f t="shared" si="0"/>
        <v>2278251861.1968513</v>
      </c>
      <c r="K19" s="92">
        <v>13</v>
      </c>
    </row>
    <row r="20" spans="1:11" ht="18" x14ac:dyDescent="0.35">
      <c r="A20" s="91">
        <v>14</v>
      </c>
      <c r="B20" s="90" t="s">
        <v>178</v>
      </c>
      <c r="C20" s="91">
        <v>17</v>
      </c>
      <c r="D20" s="90">
        <v>1595345953.8602912</v>
      </c>
      <c r="E20" s="90">
        <f>-117731354.5331</f>
        <v>-117731354.53309999</v>
      </c>
      <c r="F20" s="108">
        <v>136017235.7748</v>
      </c>
      <c r="G20" s="108">
        <v>12323538.7477</v>
      </c>
      <c r="H20" s="108">
        <v>52310601.849999994</v>
      </c>
      <c r="I20" s="90">
        <v>1115410896.7955</v>
      </c>
      <c r="J20" s="90">
        <f t="shared" si="0"/>
        <v>2793676872.4951916</v>
      </c>
      <c r="K20" s="92">
        <v>14</v>
      </c>
    </row>
    <row r="21" spans="1:11" ht="18" x14ac:dyDescent="0.35">
      <c r="A21" s="91">
        <v>15</v>
      </c>
      <c r="B21" s="90" t="s">
        <v>179</v>
      </c>
      <c r="C21" s="91">
        <v>11</v>
      </c>
      <c r="D21" s="90">
        <v>1093132161.8169904</v>
      </c>
      <c r="E21" s="90">
        <f>-76334750.3288</f>
        <v>-76334750.328799993</v>
      </c>
      <c r="F21" s="108">
        <v>93199104.947299987</v>
      </c>
      <c r="G21" s="108">
        <v>8444097.3562000003</v>
      </c>
      <c r="H21" s="108">
        <v>35843260.920000002</v>
      </c>
      <c r="I21" s="90">
        <v>731970020.3937</v>
      </c>
      <c r="J21" s="90">
        <f t="shared" si="0"/>
        <v>1886253895.1053905</v>
      </c>
      <c r="K21" s="92">
        <v>15</v>
      </c>
    </row>
    <row r="22" spans="1:11" ht="18" x14ac:dyDescent="0.35">
      <c r="A22" s="91">
        <v>16</v>
      </c>
      <c r="B22" s="90" t="s">
        <v>180</v>
      </c>
      <c r="C22" s="91">
        <v>27</v>
      </c>
      <c r="D22" s="90">
        <v>2138118459.9167962</v>
      </c>
      <c r="E22" s="90">
        <f>-185973071.8416</f>
        <v>-185973071.8416</v>
      </c>
      <c r="F22" s="108">
        <v>182293352.71689999</v>
      </c>
      <c r="G22" s="108">
        <v>16516283.2654</v>
      </c>
      <c r="H22" s="108">
        <v>70107842.879999995</v>
      </c>
      <c r="I22" s="90">
        <v>1539485420.2021</v>
      </c>
      <c r="J22" s="90">
        <f t="shared" si="0"/>
        <v>3760548287.139596</v>
      </c>
      <c r="K22" s="92">
        <v>16</v>
      </c>
    </row>
    <row r="23" spans="1:11" ht="18" x14ac:dyDescent="0.35">
      <c r="A23" s="91">
        <v>17</v>
      </c>
      <c r="B23" s="90" t="s">
        <v>181</v>
      </c>
      <c r="C23" s="91">
        <v>27</v>
      </c>
      <c r="D23" s="90">
        <v>2246294752.80301</v>
      </c>
      <c r="E23" s="90">
        <f>-186249761.1761</f>
        <v>-186249761.17609999</v>
      </c>
      <c r="F23" s="108">
        <v>191516330.52270001</v>
      </c>
      <c r="G23" s="108">
        <v>17351910.631999999</v>
      </c>
      <c r="H23" s="108">
        <v>73654889.819999993</v>
      </c>
      <c r="I23" s="90">
        <v>1613729998.4725001</v>
      </c>
      <c r="J23" s="90">
        <f t="shared" si="0"/>
        <v>3956298121.07411</v>
      </c>
      <c r="K23" s="92">
        <v>17</v>
      </c>
    </row>
    <row r="24" spans="1:11" ht="18" x14ac:dyDescent="0.35">
      <c r="A24" s="91">
        <v>18</v>
      </c>
      <c r="B24" s="90" t="s">
        <v>182</v>
      </c>
      <c r="C24" s="91">
        <v>23</v>
      </c>
      <c r="D24" s="90">
        <v>2526171151.2596116</v>
      </c>
      <c r="E24" s="90">
        <f>-160224245.1906</f>
        <v>-160224245.19060001</v>
      </c>
      <c r="F24" s="108">
        <v>215378248.3671</v>
      </c>
      <c r="G24" s="108">
        <v>19513866.556699999</v>
      </c>
      <c r="H24" s="108">
        <v>82831897.99000001</v>
      </c>
      <c r="I24" s="90">
        <v>1849828255.8271999</v>
      </c>
      <c r="J24" s="90">
        <f t="shared" si="0"/>
        <v>4533499174.8100119</v>
      </c>
      <c r="K24" s="92">
        <v>18</v>
      </c>
    </row>
    <row r="25" spans="1:11" ht="18" x14ac:dyDescent="0.35">
      <c r="A25" s="91">
        <v>19</v>
      </c>
      <c r="B25" s="90" t="s">
        <v>183</v>
      </c>
      <c r="C25" s="91">
        <v>44</v>
      </c>
      <c r="D25" s="90">
        <v>4021880980.1452427</v>
      </c>
      <c r="E25" s="90">
        <f>-817106572.6766</f>
        <v>-817106572.67659998</v>
      </c>
      <c r="F25" s="108">
        <v>342900630.54469997</v>
      </c>
      <c r="G25" s="108">
        <v>31067748.013599999</v>
      </c>
      <c r="H25" s="108">
        <v>131875480.76000001</v>
      </c>
      <c r="I25" s="90">
        <v>3139203865.1106</v>
      </c>
      <c r="J25" s="90">
        <f t="shared" si="0"/>
        <v>6849822131.897543</v>
      </c>
      <c r="K25" s="92">
        <v>19</v>
      </c>
    </row>
    <row r="26" spans="1:11" ht="18" x14ac:dyDescent="0.35">
      <c r="A26" s="91">
        <v>20</v>
      </c>
      <c r="B26" s="90" t="s">
        <v>184</v>
      </c>
      <c r="C26" s="91">
        <v>34</v>
      </c>
      <c r="D26" s="90">
        <v>3061926448.3564076</v>
      </c>
      <c r="E26" s="90">
        <f>-235133357.5207</f>
        <v>-235133357.52070001</v>
      </c>
      <c r="F26" s="108">
        <v>261056086.69729999</v>
      </c>
      <c r="G26" s="108">
        <v>23652405.381299999</v>
      </c>
      <c r="H26" s="108">
        <v>100399048.20999999</v>
      </c>
      <c r="I26" s="90">
        <v>2084186357.8099</v>
      </c>
      <c r="J26" s="90">
        <f t="shared" si="0"/>
        <v>5296086988.9342079</v>
      </c>
      <c r="K26" s="92">
        <v>20</v>
      </c>
    </row>
    <row r="27" spans="1:11" ht="18" x14ac:dyDescent="0.35">
      <c r="A27" s="91">
        <v>21</v>
      </c>
      <c r="B27" s="90" t="s">
        <v>185</v>
      </c>
      <c r="C27" s="91">
        <v>21</v>
      </c>
      <c r="D27" s="90">
        <v>1932404253.4523301</v>
      </c>
      <c r="E27" s="90">
        <f>-145334843.3474</f>
        <v>-145334843.34740001</v>
      </c>
      <c r="F27" s="108">
        <v>164754412.23719999</v>
      </c>
      <c r="G27" s="108">
        <v>14927206.622300001</v>
      </c>
      <c r="H27" s="108">
        <v>31681288.085000001</v>
      </c>
      <c r="I27" s="90">
        <v>1220002201.8178</v>
      </c>
      <c r="J27" s="90">
        <f t="shared" si="0"/>
        <v>3218434518.8672304</v>
      </c>
      <c r="K27" s="92">
        <v>21</v>
      </c>
    </row>
    <row r="28" spans="1:11" ht="18" x14ac:dyDescent="0.35">
      <c r="A28" s="91">
        <v>22</v>
      </c>
      <c r="B28" s="90" t="s">
        <v>186</v>
      </c>
      <c r="C28" s="91">
        <v>21</v>
      </c>
      <c r="D28" s="90">
        <v>1997281341.6844659</v>
      </c>
      <c r="E28" s="90">
        <f>-145500783.572</f>
        <v>-145500783.572</v>
      </c>
      <c r="F28" s="108">
        <v>170285753.06810001</v>
      </c>
      <c r="G28" s="108">
        <v>15428361.7445</v>
      </c>
      <c r="H28" s="108">
        <v>32744931.690000001</v>
      </c>
      <c r="I28" s="90">
        <v>1232431416.9038</v>
      </c>
      <c r="J28" s="90">
        <f t="shared" si="0"/>
        <v>3302671021.5188656</v>
      </c>
      <c r="K28" s="92">
        <v>22</v>
      </c>
    </row>
    <row r="29" spans="1:11" ht="18" x14ac:dyDescent="0.35">
      <c r="A29" s="91">
        <v>23</v>
      </c>
      <c r="B29" s="90" t="s">
        <v>187</v>
      </c>
      <c r="C29" s="91">
        <v>16</v>
      </c>
      <c r="D29" s="90">
        <v>1413285754.316505</v>
      </c>
      <c r="E29" s="90">
        <f>-110580344.2858</f>
        <v>-110580344.2858</v>
      </c>
      <c r="F29" s="108">
        <v>120495006.85780001</v>
      </c>
      <c r="G29" s="108">
        <v>10917181.7651</v>
      </c>
      <c r="H29" s="108">
        <v>23170469.145000003</v>
      </c>
      <c r="I29" s="90">
        <v>935141091.48119998</v>
      </c>
      <c r="J29" s="90">
        <f t="shared" si="0"/>
        <v>2392429159.2798052</v>
      </c>
      <c r="K29" s="92">
        <v>23</v>
      </c>
    </row>
    <row r="30" spans="1:11" ht="18" x14ac:dyDescent="0.35">
      <c r="A30" s="91">
        <v>24</v>
      </c>
      <c r="B30" s="90" t="s">
        <v>188</v>
      </c>
      <c r="C30" s="91">
        <v>20</v>
      </c>
      <c r="D30" s="90">
        <v>2407526895.1973786</v>
      </c>
      <c r="E30" s="90">
        <f>-139864751.1461</f>
        <v>-139864751.14610001</v>
      </c>
      <c r="F30" s="108">
        <v>205262784.87259999</v>
      </c>
      <c r="G30" s="108">
        <v>18597377.512200002</v>
      </c>
      <c r="H30" s="108">
        <v>78941611.739999995</v>
      </c>
      <c r="I30" s="90">
        <v>7131015655.5150003</v>
      </c>
      <c r="J30" s="90">
        <f t="shared" si="0"/>
        <v>9701479573.6910782</v>
      </c>
      <c r="K30" s="92">
        <v>24</v>
      </c>
    </row>
    <row r="31" spans="1:11" ht="36" x14ac:dyDescent="0.35">
      <c r="A31" s="91">
        <v>25</v>
      </c>
      <c r="B31" s="96" t="s">
        <v>189</v>
      </c>
      <c r="C31" s="91">
        <v>13</v>
      </c>
      <c r="D31" s="90">
        <v>1260894478.8309708</v>
      </c>
      <c r="E31" s="90">
        <f>-90134533.3587</f>
        <v>-90134533.358700007</v>
      </c>
      <c r="F31" s="108">
        <v>107502313.9612</v>
      </c>
      <c r="G31" s="108">
        <v>9740007.7585000005</v>
      </c>
      <c r="H31" s="108">
        <v>41344104.009999998</v>
      </c>
      <c r="I31" s="90">
        <v>766802162.43529999</v>
      </c>
      <c r="J31" s="90">
        <f t="shared" si="0"/>
        <v>2096148533.6372709</v>
      </c>
      <c r="K31" s="92">
        <v>25</v>
      </c>
    </row>
    <row r="32" spans="1:11" ht="18" x14ac:dyDescent="0.35">
      <c r="A32" s="91">
        <v>26</v>
      </c>
      <c r="B32" s="90" t="s">
        <v>190</v>
      </c>
      <c r="C32" s="91">
        <v>25</v>
      </c>
      <c r="D32" s="90">
        <v>2333818418.5302916</v>
      </c>
      <c r="E32" s="90">
        <f>-173102939.2218</f>
        <v>-173102939.2218</v>
      </c>
      <c r="F32" s="108">
        <v>198978490.7254</v>
      </c>
      <c r="G32" s="108">
        <v>18028003.041000001</v>
      </c>
      <c r="H32" s="108">
        <v>38262373.685000002</v>
      </c>
      <c r="I32" s="90">
        <v>1500859482.4793999</v>
      </c>
      <c r="J32" s="90">
        <f t="shared" si="0"/>
        <v>3916843829.2392912</v>
      </c>
      <c r="K32" s="92">
        <v>26</v>
      </c>
    </row>
    <row r="33" spans="1:11" ht="18" x14ac:dyDescent="0.35">
      <c r="A33" s="91">
        <v>27</v>
      </c>
      <c r="B33" s="90" t="s">
        <v>191</v>
      </c>
      <c r="C33" s="91">
        <v>20</v>
      </c>
      <c r="D33" s="90">
        <v>1664937621.5419416</v>
      </c>
      <c r="E33" s="90">
        <f>-137965383.6753</f>
        <v>-137965383.6753</v>
      </c>
      <c r="F33" s="108">
        <v>141950535.8439</v>
      </c>
      <c r="G33" s="108">
        <v>12861112.181500001</v>
      </c>
      <c r="H33" s="108">
        <v>54592478.099999994</v>
      </c>
      <c r="I33" s="90">
        <v>1352011675.4254</v>
      </c>
      <c r="J33" s="90">
        <f t="shared" si="0"/>
        <v>3088388039.4174414</v>
      </c>
      <c r="K33" s="92">
        <v>27</v>
      </c>
    </row>
    <row r="34" spans="1:11" ht="18" x14ac:dyDescent="0.35">
      <c r="A34" s="91">
        <v>28</v>
      </c>
      <c r="B34" s="90" t="s">
        <v>192</v>
      </c>
      <c r="C34" s="91">
        <v>18</v>
      </c>
      <c r="D34" s="90">
        <v>1590120743.2659223</v>
      </c>
      <c r="E34" s="90">
        <f>-124403333.062</f>
        <v>-124403333.06200001</v>
      </c>
      <c r="F34" s="108">
        <v>135571740.73890001</v>
      </c>
      <c r="G34" s="108">
        <v>12283175.6599</v>
      </c>
      <c r="H34" s="108">
        <v>52139269.789999999</v>
      </c>
      <c r="I34" s="90">
        <v>1152442537.6607001</v>
      </c>
      <c r="J34" s="90">
        <f t="shared" si="0"/>
        <v>2818154134.053422</v>
      </c>
      <c r="K34" s="92">
        <v>28</v>
      </c>
    </row>
    <row r="35" spans="1:11" ht="18" x14ac:dyDescent="0.35">
      <c r="A35" s="91">
        <v>29</v>
      </c>
      <c r="B35" s="90" t="s">
        <v>193</v>
      </c>
      <c r="C35" s="91">
        <v>30</v>
      </c>
      <c r="D35" s="90">
        <v>2153858750.1224275</v>
      </c>
      <c r="E35" s="90">
        <f>-206069361.9159</f>
        <v>-206069361.91589999</v>
      </c>
      <c r="F35" s="108">
        <v>183635350.5133</v>
      </c>
      <c r="G35" s="108">
        <v>16637871.989099998</v>
      </c>
      <c r="H35" s="108">
        <v>70623959.179999992</v>
      </c>
      <c r="I35" s="90">
        <v>1597961523.8680999</v>
      </c>
      <c r="J35" s="90">
        <f t="shared" si="0"/>
        <v>3816648093.7570276</v>
      </c>
      <c r="K35" s="92">
        <v>29</v>
      </c>
    </row>
    <row r="36" spans="1:11" ht="18" x14ac:dyDescent="0.35">
      <c r="A36" s="91">
        <v>30</v>
      </c>
      <c r="B36" s="90" t="s">
        <v>194</v>
      </c>
      <c r="C36" s="91">
        <v>33</v>
      </c>
      <c r="D36" s="90">
        <v>2716924759.8875728</v>
      </c>
      <c r="E36" s="90">
        <f>-227565581.5393</f>
        <v>-227565581.53929999</v>
      </c>
      <c r="F36" s="108">
        <v>231641666.65189999</v>
      </c>
      <c r="G36" s="108">
        <v>20987377.356600001</v>
      </c>
      <c r="H36" s="108">
        <v>89086614.11999999</v>
      </c>
      <c r="I36" s="90">
        <v>2702487048.7746</v>
      </c>
      <c r="J36" s="90">
        <f t="shared" si="0"/>
        <v>5533561885.2513723</v>
      </c>
      <c r="K36" s="92">
        <v>30</v>
      </c>
    </row>
    <row r="37" spans="1:11" ht="18" x14ac:dyDescent="0.35">
      <c r="A37" s="91">
        <v>31</v>
      </c>
      <c r="B37" s="90" t="s">
        <v>195</v>
      </c>
      <c r="C37" s="91">
        <v>17</v>
      </c>
      <c r="D37" s="90">
        <v>1703147794.7089319</v>
      </c>
      <c r="E37" s="90">
        <f>-118007086.1079</f>
        <v>-118007086.10789999</v>
      </c>
      <c r="F37" s="108">
        <v>145208288.26049998</v>
      </c>
      <c r="G37" s="108">
        <v>13156273.586199999</v>
      </c>
      <c r="H37" s="108">
        <v>27922685.350000001</v>
      </c>
      <c r="I37" s="90">
        <v>1124939972.0251</v>
      </c>
      <c r="J37" s="90">
        <f t="shared" si="0"/>
        <v>2896367927.8228321</v>
      </c>
      <c r="K37" s="92">
        <v>31</v>
      </c>
    </row>
    <row r="38" spans="1:11" ht="18" x14ac:dyDescent="0.35">
      <c r="A38" s="91">
        <v>32</v>
      </c>
      <c r="B38" s="90" t="s">
        <v>196</v>
      </c>
      <c r="C38" s="91">
        <v>23</v>
      </c>
      <c r="D38" s="90">
        <v>2111146108.7751458</v>
      </c>
      <c r="E38" s="90">
        <f>-159162709.4357</f>
        <v>-159162709.4357</v>
      </c>
      <c r="F38" s="108">
        <v>179993723.1947</v>
      </c>
      <c r="G38" s="108">
        <v>16307930.459800001</v>
      </c>
      <c r="H38" s="108">
        <v>69223432.86999999</v>
      </c>
      <c r="I38" s="90">
        <v>2014651795.8469</v>
      </c>
      <c r="J38" s="90">
        <f t="shared" si="0"/>
        <v>4232160281.7108455</v>
      </c>
      <c r="K38" s="92">
        <v>32</v>
      </c>
    </row>
    <row r="39" spans="1:11" ht="18" x14ac:dyDescent="0.35">
      <c r="A39" s="91">
        <v>33</v>
      </c>
      <c r="B39" s="90" t="s">
        <v>197</v>
      </c>
      <c r="C39" s="91">
        <v>23</v>
      </c>
      <c r="D39" s="90">
        <v>2126250886.1484468</v>
      </c>
      <c r="E39" s="90">
        <f>-159201343.8789</f>
        <v>-159201343.87889999</v>
      </c>
      <c r="F39" s="108">
        <v>181281537.95650002</v>
      </c>
      <c r="G39" s="108">
        <v>16424610.045899998</v>
      </c>
      <c r="H39" s="108">
        <v>69718711.019999996</v>
      </c>
      <c r="I39" s="90">
        <v>1451488708.9584999</v>
      </c>
      <c r="J39" s="90">
        <f t="shared" si="0"/>
        <v>3685963110.2504463</v>
      </c>
      <c r="K39" s="92">
        <v>33</v>
      </c>
    </row>
    <row r="40" spans="1:11" ht="18" x14ac:dyDescent="0.35">
      <c r="A40" s="91">
        <v>34</v>
      </c>
      <c r="B40" s="90" t="s">
        <v>198</v>
      </c>
      <c r="C40" s="91">
        <v>16</v>
      </c>
      <c r="D40" s="90">
        <v>1593632152.6708736</v>
      </c>
      <c r="E40" s="90">
        <f>-111041627.6559</f>
        <v>-111041627.6559</v>
      </c>
      <c r="F40" s="108">
        <v>135871119.18359998</v>
      </c>
      <c r="G40" s="108">
        <v>12310300.173</v>
      </c>
      <c r="H40" s="108">
        <v>52254407.169999994</v>
      </c>
      <c r="I40" s="90">
        <v>907988999.40810001</v>
      </c>
      <c r="J40" s="90">
        <f t="shared" si="0"/>
        <v>2591015350.9496737</v>
      </c>
      <c r="K40" s="92">
        <v>34</v>
      </c>
    </row>
    <row r="41" spans="1:11" ht="18" x14ac:dyDescent="0.35">
      <c r="A41" s="91">
        <v>35</v>
      </c>
      <c r="B41" s="90" t="s">
        <v>199</v>
      </c>
      <c r="C41" s="91">
        <v>17</v>
      </c>
      <c r="D41" s="90">
        <v>1602257467.7583497</v>
      </c>
      <c r="E41" s="90">
        <f>-117749032.5488</f>
        <v>-117749032.54880001</v>
      </c>
      <c r="F41" s="108">
        <v>136606503</v>
      </c>
      <c r="G41" s="108">
        <v>12376927.986</v>
      </c>
      <c r="H41" s="108">
        <v>52537226.960000008</v>
      </c>
      <c r="I41" s="90">
        <v>1131309281.01</v>
      </c>
      <c r="J41" s="90">
        <f t="shared" si="0"/>
        <v>2817338374.1655498</v>
      </c>
      <c r="K41" s="92">
        <v>35</v>
      </c>
    </row>
    <row r="42" spans="1:11" ht="18" x14ac:dyDescent="0.35">
      <c r="A42" s="91">
        <v>36</v>
      </c>
      <c r="B42" s="90" t="s">
        <v>200</v>
      </c>
      <c r="C42" s="91">
        <v>14</v>
      </c>
      <c r="D42" s="90">
        <v>1447746730.0459223</v>
      </c>
      <c r="E42" s="90">
        <f>-97297800.5394</f>
        <v>-97297800.539399996</v>
      </c>
      <c r="F42" s="108">
        <v>123433107.30840001</v>
      </c>
      <c r="G42" s="108">
        <v>11183381.8144</v>
      </c>
      <c r="H42" s="108">
        <v>47470896.57</v>
      </c>
      <c r="I42" s="90">
        <v>949369392.89289999</v>
      </c>
      <c r="J42" s="90">
        <f t="shared" si="0"/>
        <v>2481905708.0922222</v>
      </c>
      <c r="K42" s="92">
        <v>36</v>
      </c>
    </row>
    <row r="43" spans="1:11" ht="18" x14ac:dyDescent="0.35">
      <c r="A43" s="91">
        <v>37</v>
      </c>
      <c r="B43" s="90" t="s">
        <v>201</v>
      </c>
      <c r="C43" s="91">
        <v>6</v>
      </c>
      <c r="D43" s="90">
        <v>639425258.85058248</v>
      </c>
      <c r="E43" s="90">
        <f>-41747558.6365</f>
        <v>-41747558.636500001</v>
      </c>
      <c r="F43" s="108">
        <v>54516611.883199997</v>
      </c>
      <c r="G43" s="108">
        <v>4939356.2114999993</v>
      </c>
      <c r="H43" s="108">
        <v>20966436.82</v>
      </c>
      <c r="I43" s="90">
        <v>3576544717.4310002</v>
      </c>
      <c r="J43" s="90">
        <f t="shared" si="0"/>
        <v>4254644822.559783</v>
      </c>
      <c r="K43" s="92">
        <v>37</v>
      </c>
    </row>
    <row r="44" spans="1:11" ht="18" x14ac:dyDescent="0.35">
      <c r="A44" s="91">
        <v>38</v>
      </c>
      <c r="B44" s="90" t="s">
        <v>209</v>
      </c>
      <c r="C44" s="91"/>
      <c r="D44" s="90"/>
      <c r="E44" s="90"/>
      <c r="F44" s="90"/>
      <c r="G44" s="90"/>
      <c r="H44" s="108">
        <v>191296749.64000013</v>
      </c>
      <c r="I44" s="90">
        <v>0</v>
      </c>
      <c r="J44" s="90">
        <f t="shared" si="0"/>
        <v>191296749.64000013</v>
      </c>
      <c r="K44" s="92"/>
    </row>
    <row r="45" spans="1:11" ht="18" x14ac:dyDescent="0.35">
      <c r="A45" s="91"/>
      <c r="B45" s="93" t="s">
        <v>119</v>
      </c>
      <c r="C45" s="90"/>
      <c r="D45" s="94">
        <f>SUM(D7:D44)</f>
        <v>70373990978.892136</v>
      </c>
      <c r="E45" s="94">
        <f t="shared" ref="E45:I45" si="1">SUM(E7:E44)</f>
        <v>-5875226600.1340008</v>
      </c>
      <c r="F45" s="94">
        <f t="shared" si="1"/>
        <v>5999999999.9982004</v>
      </c>
      <c r="G45" s="94">
        <f t="shared" si="1"/>
        <v>543616638.66830003</v>
      </c>
      <c r="H45" s="94">
        <f t="shared" si="1"/>
        <v>2307528228.52</v>
      </c>
      <c r="I45" s="94">
        <f t="shared" si="1"/>
        <v>59147264204.293404</v>
      </c>
      <c r="J45" s="94">
        <f>SUM(J7:J44)</f>
        <v>132497173450.23802</v>
      </c>
      <c r="K45" s="92"/>
    </row>
    <row r="46" spans="1:11" ht="18" x14ac:dyDescent="0.35">
      <c r="A46" s="136"/>
      <c r="B46" s="137"/>
      <c r="C46" s="137"/>
      <c r="D46" s="137"/>
      <c r="E46" s="137"/>
      <c r="F46" s="137"/>
      <c r="G46" s="137"/>
      <c r="H46" s="137"/>
      <c r="I46" s="137"/>
      <c r="J46" s="137"/>
      <c r="K46" s="138"/>
    </row>
    <row r="48" spans="1:11" x14ac:dyDescent="0.25">
      <c r="I48" s="4"/>
      <c r="J48" s="109"/>
    </row>
    <row r="49" spans="5:10" x14ac:dyDescent="0.25">
      <c r="J49" s="4"/>
    </row>
    <row r="50" spans="5:10" x14ac:dyDescent="0.25">
      <c r="I50" s="109"/>
    </row>
    <row r="52" spans="5:10" x14ac:dyDescent="0.25">
      <c r="I52" s="5"/>
    </row>
    <row r="54" spans="5:10" x14ac:dyDescent="0.25">
      <c r="E54" s="5"/>
    </row>
    <row r="55" spans="5:10" x14ac:dyDescent="0.25">
      <c r="E55" s="109"/>
    </row>
    <row r="56" spans="5:10" x14ac:dyDescent="0.25">
      <c r="E56" s="109"/>
    </row>
  </sheetData>
  <mergeCells count="4">
    <mergeCell ref="A1:K1"/>
    <mergeCell ref="A2:K2"/>
    <mergeCell ref="A3:K3"/>
    <mergeCell ref="A46:K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MONTHENTRY</vt:lpstr>
      <vt:lpstr>Sum &amp; FG</vt:lpstr>
      <vt:lpstr>SG Details</vt:lpstr>
      <vt:lpstr>States Ecolgy April, 2021</vt:lpstr>
      <vt:lpstr>Sum LGC </vt:lpstr>
      <vt:lpstr>acctmonth</vt:lpstr>
      <vt:lpstr>previuosmonth</vt:lpstr>
      <vt:lpstr>'SG Details'!Print_Area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cp:lastPrinted>2021-08-02T15:51:31Z</cp:lastPrinted>
  <dcterms:created xsi:type="dcterms:W3CDTF">2003-11-12T08:54:16Z</dcterms:created>
  <dcterms:modified xsi:type="dcterms:W3CDTF">2022-02-01T13:56:09Z</dcterms:modified>
</cp:coreProperties>
</file>